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431" yWindow="65431" windowWidth="19440" windowHeight="12570" tabRatio="759" activeTab="0"/>
  </bookViews>
  <sheets>
    <sheet name="SOMMAIRE" sheetId="20" r:id="rId1"/>
    <sheet name="Feuille Engagement Benjamin(e)s" sheetId="1" r:id="rId2"/>
    <sheet name="Feuille Engagement Minimes" sheetId="6" r:id="rId3"/>
    <sheet name="PERFS_SAUTS HORIZONTAUX" sheetId="12" r:id="rId4"/>
    <sheet name="PERFS_SAUTS HORIZONTAUX (2)" sheetId="16" r:id="rId5"/>
    <sheet name="PERFS_SAUTS VERTICAUX" sheetId="15" r:id="rId6"/>
    <sheet name="PERFS_SAUTS VERTICAUX (2)" sheetId="17" r:id="rId7"/>
    <sheet name="PERFS_LANCERS" sheetId="11" r:id="rId8"/>
    <sheet name="PERFS_LANCERS (2)" sheetId="18" r:id="rId9"/>
    <sheet name="PERFS_COURSES_BE" sheetId="13" r:id="rId10"/>
    <sheet name="PERFS_COURSES_MI" sheetId="14" r:id="rId11"/>
    <sheet name="PERFS_COURSES_MI (2)" sheetId="19" r:id="rId12"/>
    <sheet name="BeF_Courses" sheetId="2" r:id="rId13"/>
    <sheet name="BeF_Concours" sheetId="10" r:id="rId14"/>
    <sheet name="BeM_Courses" sheetId="7" r:id="rId15"/>
    <sheet name="BeM_Concours" sheetId="3" r:id="rId16"/>
    <sheet name="MiF_Courses" sheetId="8" r:id="rId17"/>
    <sheet name="MiF_Concours" sheetId="4" r:id="rId18"/>
    <sheet name="MiM_Courses" sheetId="9" r:id="rId19"/>
    <sheet name="MiM_Concours" sheetId="5" r:id="rId20"/>
  </sheets>
  <definedNames>
    <definedName name="_xlnm.Print_Area" localSheetId="1">'Feuille Engagement Benjamin(e)s'!$A$1:$I$38</definedName>
    <definedName name="_xlnm.Print_Area" localSheetId="9">'PERFS_COURSES_BE'!$A$1:$K$38</definedName>
    <definedName name="_xlnm.Print_Area" localSheetId="10">'PERFS_COURSES_MI'!$A$1:$N$38</definedName>
    <definedName name="_xlnm.Print_Area" localSheetId="11">'PERFS_COURSES_MI (2)'!$A$1:$N$38</definedName>
    <definedName name="_xlnm.Print_Area" localSheetId="7">'PERFS_LANCERS'!$A$1:$L$37</definedName>
    <definedName name="_xlnm.Print_Area" localSheetId="8">'PERFS_LANCERS (2)'!$A$1:$L$37</definedName>
    <definedName name="_xlnm.Print_Area" localSheetId="3">'PERFS_SAUTS HORIZONTAUX'!$A$1:$K$37</definedName>
    <definedName name="_xlnm.Print_Area" localSheetId="4">'PERFS_SAUTS HORIZONTAUX (2)'!$A$1:$K$37</definedName>
    <definedName name="_xlnm.Print_Area" localSheetId="5">'PERFS_SAUTS VERTICAUX'!$A$1:$R$37</definedName>
    <definedName name="_xlnm.Print_Area" localSheetId="6">'PERFS_SAUTS VERTICAUX (2)'!$A$1:$R$37</definedName>
    <definedName name="_xlnm.Print_Area" localSheetId="0">'SOMMAIRE'!$A$1:$M$55</definedName>
  </definedNames>
  <calcPr calcId="124519"/>
  <extLst/>
</workbook>
</file>

<file path=xl/sharedStrings.xml><?xml version="1.0" encoding="utf-8"?>
<sst xmlns="http://schemas.openxmlformats.org/spreadsheetml/2006/main" count="1275" uniqueCount="329">
  <si>
    <t>Date :</t>
  </si>
  <si>
    <t>Heure de début</t>
  </si>
  <si>
    <t>Heure de fin</t>
  </si>
  <si>
    <t xml:space="preserve">Nom </t>
  </si>
  <si>
    <t>Prénom</t>
  </si>
  <si>
    <t>Licence</t>
  </si>
  <si>
    <t>Points</t>
  </si>
  <si>
    <t xml:space="preserve">Catégorie Be/Mi </t>
  </si>
  <si>
    <t>BEF</t>
  </si>
  <si>
    <t>Table de cotation</t>
  </si>
  <si>
    <t xml:space="preserve"> </t>
  </si>
  <si>
    <t>Pts</t>
  </si>
  <si>
    <t>50m</t>
  </si>
  <si>
    <t>50mH</t>
  </si>
  <si>
    <t>200mH(65)</t>
  </si>
  <si>
    <t>Hauteur</t>
  </si>
  <si>
    <t>Perche</t>
  </si>
  <si>
    <t>Longueur</t>
  </si>
  <si>
    <t>Triple Saut</t>
  </si>
  <si>
    <t>2000m Marche</t>
  </si>
  <si>
    <t>4x60m</t>
  </si>
  <si>
    <t>4x60 mixte</t>
  </si>
  <si>
    <t>BEM</t>
  </si>
  <si>
    <t>Table de Cotation</t>
  </si>
  <si>
    <t>1000m</t>
  </si>
  <si>
    <t>50mH(65)</t>
  </si>
  <si>
    <t>Poids (3kg)</t>
  </si>
  <si>
    <t>Disque (1kg)</t>
  </si>
  <si>
    <t>Marteau (3kg)</t>
  </si>
  <si>
    <t>Javelot (500g)</t>
  </si>
  <si>
    <t>4X60m</t>
  </si>
  <si>
    <t>4X60 Mixte</t>
  </si>
  <si>
    <t>MIF</t>
  </si>
  <si>
    <t>50m Indoor</t>
  </si>
  <si>
    <t>80m</t>
  </si>
  <si>
    <t>120m</t>
  </si>
  <si>
    <t>2000m</t>
  </si>
  <si>
    <t>50mH (76) indoor</t>
  </si>
  <si>
    <t>80mH (76)</t>
  </si>
  <si>
    <t>200mH (76)</t>
  </si>
  <si>
    <t>Triple saut</t>
  </si>
  <si>
    <t>Disque (800g)</t>
  </si>
  <si>
    <t>3000m Marche</t>
  </si>
  <si>
    <t>4x60m Mixte</t>
  </si>
  <si>
    <t xml:space="preserve">MIM </t>
  </si>
  <si>
    <t>50m indoor</t>
  </si>
  <si>
    <t>50mH (84) indoor</t>
  </si>
  <si>
    <t>100mH (84)</t>
  </si>
  <si>
    <t>Poids (4kg)</t>
  </si>
  <si>
    <t>Disque (1,250kg)</t>
  </si>
  <si>
    <t>Marteau (4kg)</t>
  </si>
  <si>
    <t>Javelot (600g)</t>
  </si>
  <si>
    <t>BeF</t>
  </si>
  <si>
    <t>BeM</t>
  </si>
  <si>
    <t>MiF</t>
  </si>
  <si>
    <t>MiM</t>
  </si>
  <si>
    <t>MiF9</t>
  </si>
  <si>
    <t>MiF10</t>
  </si>
  <si>
    <t>MiM11</t>
  </si>
  <si>
    <t>MiM12</t>
  </si>
  <si>
    <t>MiM13</t>
  </si>
  <si>
    <t>Club :</t>
  </si>
  <si>
    <t>Jury :</t>
  </si>
  <si>
    <t>TEMPS</t>
  </si>
  <si>
    <t>MANUEL</t>
  </si>
  <si>
    <t>COURSE :</t>
  </si>
  <si>
    <t>200mH</t>
  </si>
  <si>
    <t xml:space="preserve">50m </t>
  </si>
  <si>
    <t xml:space="preserve">1000m </t>
  </si>
  <si>
    <t xml:space="preserve">50mH </t>
  </si>
  <si>
    <t xml:space="preserve">200mH </t>
  </si>
  <si>
    <t>Haies (65)</t>
  </si>
  <si>
    <t>BeF_50m</t>
  </si>
  <si>
    <t>BeF_200mH</t>
  </si>
  <si>
    <t>BeF_2000m Marche</t>
  </si>
  <si>
    <t>BeM_2000m Marche</t>
  </si>
  <si>
    <r>
      <t xml:space="preserve">Feuille de courses Benjamin(e)s </t>
    </r>
    <r>
      <rPr>
        <sz val="16"/>
        <color rgb="FFFF0000"/>
        <rFont val="Calibri"/>
        <family val="2"/>
        <scheme val="minor"/>
      </rPr>
      <t>Les temps doivent être saisis au 1/10ème de seconde supérieur ex. 50m : 7"12 = 7,2</t>
    </r>
  </si>
  <si>
    <t>Feuille d'engagement des athlètes</t>
  </si>
  <si>
    <t>Triathlon</t>
  </si>
  <si>
    <t>Généraliste</t>
  </si>
  <si>
    <t>1 Saut + 1 Lancer + 1 Course</t>
  </si>
  <si>
    <t xml:space="preserve">Technique </t>
  </si>
  <si>
    <t xml:space="preserve">Spécial </t>
  </si>
  <si>
    <t>2 concours, 1 course.</t>
  </si>
  <si>
    <t xml:space="preserve">1000 m ou marche, un concours, une épreuve libre </t>
  </si>
  <si>
    <t>Résultat SAUT</t>
  </si>
  <si>
    <t>Résultat LANCER</t>
  </si>
  <si>
    <t>Résultat COURSE</t>
  </si>
  <si>
    <t>TOTAL des POINTS</t>
  </si>
  <si>
    <t>CLASSEMENT CLUB</t>
  </si>
  <si>
    <t>TRIATHLON</t>
  </si>
  <si>
    <t xml:space="preserve">Généraliste </t>
  </si>
  <si>
    <t>SAUT</t>
  </si>
  <si>
    <t>LANCER</t>
  </si>
  <si>
    <t>COURSE</t>
  </si>
  <si>
    <t>CONCOURS 2</t>
  </si>
  <si>
    <t>CONCOURS    1</t>
  </si>
  <si>
    <t>EPREUVE LIBRE</t>
  </si>
  <si>
    <t>Classement CLUB</t>
  </si>
  <si>
    <t>1000m ou Marche</t>
  </si>
  <si>
    <t xml:space="preserve">1000m ou Marche, 1 concours, 1 épreuve libre </t>
  </si>
  <si>
    <t>EPREUVES à Réaliser</t>
  </si>
  <si>
    <t>Choix de TRIATHLON</t>
  </si>
  <si>
    <t>Temps Manuels pour les Courses au 1/10ème de Seconde</t>
  </si>
  <si>
    <t>Poids (2kg)</t>
  </si>
  <si>
    <t>Disque (600g)</t>
  </si>
  <si>
    <t>Marteau(2kg)</t>
  </si>
  <si>
    <t>Javelot(400g)</t>
  </si>
  <si>
    <t>Feuille de concours</t>
  </si>
  <si>
    <t xml:space="preserve">Poids </t>
  </si>
  <si>
    <t>BeF (2kg) / BeM &amp; MiF (3kg) /MiM (4kg)</t>
  </si>
  <si>
    <t>Lancer :</t>
  </si>
  <si>
    <t xml:space="preserve">Javelot </t>
  </si>
  <si>
    <t>BeF (400g) / BeM &amp; MIF (500g) / MiM (600g)</t>
  </si>
  <si>
    <t xml:space="preserve">Disque </t>
  </si>
  <si>
    <t>BeF (600g) /BeM (1kg) / MiF (800g) / MiM (1,250kg)</t>
  </si>
  <si>
    <t xml:space="preserve">Marteau </t>
  </si>
  <si>
    <t>Essai1</t>
  </si>
  <si>
    <t>Essai2</t>
  </si>
  <si>
    <t>Essai3</t>
  </si>
  <si>
    <t>Essai4</t>
  </si>
  <si>
    <t>Meilleure Perf</t>
  </si>
  <si>
    <t>BeF2</t>
  </si>
  <si>
    <t>BeF3</t>
  </si>
  <si>
    <t>BeF4</t>
  </si>
  <si>
    <t>BeM5</t>
  </si>
  <si>
    <t>BeM6</t>
  </si>
  <si>
    <t>BeM7</t>
  </si>
  <si>
    <t>MiF8</t>
  </si>
  <si>
    <t xml:space="preserve">Longueur </t>
  </si>
  <si>
    <t xml:space="preserve">Triple saut </t>
  </si>
  <si>
    <t>Planche : BeF  mini 5m / BeM et MiF mini 6m / MiM mini 7m</t>
  </si>
  <si>
    <t>SAUT :</t>
  </si>
  <si>
    <t>Longueur ou Triple saut</t>
  </si>
  <si>
    <t>Poids - Javelot - Disque - Marteau</t>
  </si>
  <si>
    <t>BeF_50m Col2</t>
  </si>
  <si>
    <t>BeF _ 1000m</t>
  </si>
  <si>
    <t>BeF _ 1000m Col2</t>
  </si>
  <si>
    <t>BeF _ 50mH</t>
  </si>
  <si>
    <t>BeF _ 50mH Col2</t>
  </si>
  <si>
    <t>BeF_200mH Col2</t>
  </si>
  <si>
    <t>BeF_2000m Marche C2</t>
  </si>
  <si>
    <t xml:space="preserve"> BeM _  50m</t>
  </si>
  <si>
    <t xml:space="preserve"> BeM _  50m Col2</t>
  </si>
  <si>
    <t>BeM _ 1000m</t>
  </si>
  <si>
    <t>BeM _ 1000m Col2</t>
  </si>
  <si>
    <t>BeM _ 50mH</t>
  </si>
  <si>
    <t>BeM _ 50mH Col2</t>
  </si>
  <si>
    <t>BeM _ 200mH</t>
  </si>
  <si>
    <t>BeM _ 200mH Col2</t>
  </si>
  <si>
    <t>BeM_2000m Marche C2</t>
  </si>
  <si>
    <t>Course</t>
  </si>
  <si>
    <t xml:space="preserve">2000m Marche </t>
  </si>
  <si>
    <t xml:space="preserve">80m </t>
  </si>
  <si>
    <t xml:space="preserve">120m </t>
  </si>
  <si>
    <t xml:space="preserve">80mH </t>
  </si>
  <si>
    <t xml:space="preserve">3000m Marche </t>
  </si>
  <si>
    <t>Haies (76)</t>
  </si>
  <si>
    <t xml:space="preserve">100mH </t>
  </si>
  <si>
    <t>Haies (84)</t>
  </si>
  <si>
    <t>80mH</t>
  </si>
  <si>
    <t>100mH</t>
  </si>
  <si>
    <t>MiF_ 1000m</t>
  </si>
  <si>
    <t>MiF_80m</t>
  </si>
  <si>
    <t>MiF_80m Col2</t>
  </si>
  <si>
    <t xml:space="preserve">MiF_120m </t>
  </si>
  <si>
    <t>MiF_120m Col2</t>
  </si>
  <si>
    <t>MiF _ 1000m Col2</t>
  </si>
  <si>
    <t xml:space="preserve">MiF _ 2000m </t>
  </si>
  <si>
    <t>MiF _ 2000m Col2</t>
  </si>
  <si>
    <t>MiF _ 80mH</t>
  </si>
  <si>
    <t>MiF _ 80mH Col2</t>
  </si>
  <si>
    <t>MiF_200mH</t>
  </si>
  <si>
    <t>MiF_200mH Col2</t>
  </si>
  <si>
    <t>MiF_3000m Marche</t>
  </si>
  <si>
    <t>MiF_3000m Marche C2</t>
  </si>
  <si>
    <t xml:space="preserve"> MiM _  80m</t>
  </si>
  <si>
    <t>MiM _  80m Col2</t>
  </si>
  <si>
    <t xml:space="preserve">MiM _  120m </t>
  </si>
  <si>
    <t>MiM _ 120m Col2</t>
  </si>
  <si>
    <t>MiM _ 1000m</t>
  </si>
  <si>
    <t>MiM _ 1000m Col2</t>
  </si>
  <si>
    <t>MiM _ 2000m</t>
  </si>
  <si>
    <t>MiM _ 2000m Col2</t>
  </si>
  <si>
    <t>MiM _ 200mH</t>
  </si>
  <si>
    <t>MiM _ 200mH Col2</t>
  </si>
  <si>
    <t>MiM_3000m Marche</t>
  </si>
  <si>
    <t>MiM_3000m Marche C2</t>
  </si>
  <si>
    <t xml:space="preserve">2000m </t>
  </si>
  <si>
    <t xml:space="preserve">MiF </t>
  </si>
  <si>
    <t xml:space="preserve">MiM </t>
  </si>
  <si>
    <t>MiM _ 100mH</t>
  </si>
  <si>
    <t>MiM _ 100mH Col2</t>
  </si>
  <si>
    <t xml:space="preserve">Hauteur </t>
  </si>
  <si>
    <t>Montées de barres 10x10 / 5x5 / 4x4 / 3x3 / 2x2cm mini - 10 montées de barre maxi - 3 essais consécutifs (X-X-X) = Fin de l'épreuve pour l'athlète</t>
  </si>
  <si>
    <t xml:space="preserve">Saut : </t>
  </si>
  <si>
    <t xml:space="preserve">Perche </t>
  </si>
  <si>
    <t>Montées de barres 20x20 / 15x15 / 10x10 /  5x5cm mini - 10 montées de barre maxi par athlète - 3 essais consécutifs (X-X-X) = Fin de l'épreuve pour l'athlète</t>
  </si>
  <si>
    <t>Hauteur/ Perche</t>
  </si>
  <si>
    <t>Observation</t>
  </si>
  <si>
    <t xml:space="preserve">Barre 1 </t>
  </si>
  <si>
    <t>Barre 2</t>
  </si>
  <si>
    <t>Barre 3</t>
  </si>
  <si>
    <t xml:space="preserve">Barre 4 </t>
  </si>
  <si>
    <t>Barre 5</t>
  </si>
  <si>
    <t>Barre 6</t>
  </si>
  <si>
    <t>Barre 7</t>
  </si>
  <si>
    <t xml:space="preserve">Barre 8 </t>
  </si>
  <si>
    <t>Barre 9</t>
  </si>
  <si>
    <t>Barre 10</t>
  </si>
  <si>
    <t xml:space="preserve">Noter </t>
  </si>
  <si>
    <t>seulement</t>
  </si>
  <si>
    <t>les</t>
  </si>
  <si>
    <t>barres</t>
  </si>
  <si>
    <t>passées</t>
  </si>
  <si>
    <t>Colonne1</t>
  </si>
  <si>
    <t>Colonne2</t>
  </si>
  <si>
    <t>Date de début :</t>
  </si>
  <si>
    <t>Date de fin</t>
  </si>
  <si>
    <t>2 courses (dont 1&lt;200m) &amp; 1 concours</t>
  </si>
  <si>
    <t>2 concours &amp; 1 course.</t>
  </si>
  <si>
    <t>Classement Club</t>
  </si>
  <si>
    <t>Calcul Saut 1</t>
  </si>
  <si>
    <t>Calcul Saut 2</t>
  </si>
  <si>
    <t>Calcul Saut 3</t>
  </si>
  <si>
    <t>Calcul Saut 4</t>
  </si>
  <si>
    <t>Calcul Lancer 1</t>
  </si>
  <si>
    <t>Calcul Lancer 2</t>
  </si>
  <si>
    <t>Calcul Course 1</t>
  </si>
  <si>
    <t>Calcul Course 2</t>
  </si>
  <si>
    <t>SAUT 2 Technique</t>
  </si>
  <si>
    <t>LANCER 2 Technique</t>
  </si>
  <si>
    <t>COURSE 2 Spécial</t>
  </si>
  <si>
    <t>COURSE (A/B ouC)</t>
  </si>
  <si>
    <t xml:space="preserve">Procédure d'utilisation de la feuille de calcul </t>
  </si>
  <si>
    <t>Pour les Benjamin (e)s</t>
  </si>
  <si>
    <t>"Perf_LANCERS"</t>
  </si>
  <si>
    <t>"PERFS_COURSES_BE"</t>
  </si>
  <si>
    <t>1_3</t>
  </si>
  <si>
    <t>1_1</t>
  </si>
  <si>
    <t>1_2</t>
  </si>
  <si>
    <t>1_2_1</t>
  </si>
  <si>
    <t>1_2_2</t>
  </si>
  <si>
    <t>1_2_3</t>
  </si>
  <si>
    <t>1_3_1</t>
  </si>
  <si>
    <t>1_3_2</t>
  </si>
  <si>
    <t>1_3_2_1</t>
  </si>
  <si>
    <t>Pour les sauts horizontaux (Longueur ou Triple) Liste déroulante au choix</t>
  </si>
  <si>
    <t>1_3_2_2</t>
  </si>
  <si>
    <t>Ou si sauts verticaux (Hauteur ou Perche) Liste déroulante au choix</t>
  </si>
  <si>
    <t>1_3_2_3</t>
  </si>
  <si>
    <t>Pour les Lancers (Poids / Javelot / Disque / Marteau) Liste déroulante au choix</t>
  </si>
  <si>
    <t>1_3_2_4</t>
  </si>
  <si>
    <t>Pour les courses (50m / 1000m / 50mH / 200mH / 2000m Marche) liste déroulante au choix</t>
  </si>
  <si>
    <t>La catégorie et Genre (BeF ou BeM) Liste  déroulante au choix</t>
  </si>
  <si>
    <t>Le type d'épreuve pour chaque famille</t>
  </si>
  <si>
    <r>
      <rPr>
        <b/>
        <sz val="11"/>
        <color theme="1"/>
        <rFont val="Calibri"/>
        <family val="2"/>
        <scheme val="minor"/>
      </rPr>
      <t>Copier / coller</t>
    </r>
    <r>
      <rPr>
        <sz val="11"/>
        <color theme="1"/>
        <rFont val="Calibri"/>
        <family val="2"/>
        <scheme val="minor"/>
      </rPr>
      <t xml:space="preserve"> les noms prénoms et licences dans les onglets :</t>
    </r>
  </si>
  <si>
    <t>"PERFS_SAUTS VERTICAUX"</t>
  </si>
  <si>
    <t xml:space="preserve">"Perf_SAUTS HORIZONTAUX" ou </t>
  </si>
  <si>
    <r>
      <rPr>
        <b/>
        <u val="single"/>
        <sz val="11"/>
        <color theme="10"/>
        <rFont val="Calibri"/>
        <family val="2"/>
      </rPr>
      <t xml:space="preserve">Saisir </t>
    </r>
    <r>
      <rPr>
        <u val="single"/>
        <sz val="11"/>
        <color theme="10"/>
        <rFont val="Calibri"/>
        <family val="2"/>
      </rPr>
      <t xml:space="preserve">le nom prénom et </t>
    </r>
    <r>
      <rPr>
        <b/>
        <u val="single"/>
        <sz val="11"/>
        <color theme="10"/>
        <rFont val="Calibri"/>
        <family val="2"/>
      </rPr>
      <t>licence de chaque athlète</t>
    </r>
    <r>
      <rPr>
        <u val="single"/>
        <sz val="11"/>
        <color theme="10"/>
        <rFont val="Calibri"/>
        <family val="2"/>
      </rPr>
      <t>. (Attention sans le n° de licence les calculs ne peuvent être faits)</t>
    </r>
  </si>
  <si>
    <t xml:space="preserve">Pour les Minimes </t>
  </si>
  <si>
    <t>2_1</t>
  </si>
  <si>
    <t>2_2</t>
  </si>
  <si>
    <t>2_2_1</t>
  </si>
  <si>
    <t>2_2_1_1</t>
  </si>
  <si>
    <t>2_2_1_2</t>
  </si>
  <si>
    <t>2_2_1_3</t>
  </si>
  <si>
    <t>"PERFS_COURSES_MI"</t>
  </si>
  <si>
    <r>
      <rPr>
        <b/>
        <u val="single"/>
        <sz val="11"/>
        <color theme="10"/>
        <rFont val="Calibri"/>
        <family val="2"/>
      </rPr>
      <t>Saisir</t>
    </r>
    <r>
      <rPr>
        <u val="single"/>
        <sz val="11"/>
        <color theme="10"/>
        <rFont val="Calibri"/>
        <family val="2"/>
      </rPr>
      <t xml:space="preserve"> le nom, prénom et</t>
    </r>
    <r>
      <rPr>
        <b/>
        <u val="single"/>
        <sz val="11"/>
        <color theme="10"/>
        <rFont val="Calibri"/>
        <family val="2"/>
      </rPr>
      <t xml:space="preserve"> licence</t>
    </r>
    <r>
      <rPr>
        <u val="single"/>
        <sz val="11"/>
        <color theme="10"/>
        <rFont val="Calibri"/>
        <family val="2"/>
      </rPr>
      <t xml:space="preserve"> de chaque athlète et</t>
    </r>
    <r>
      <rPr>
        <b/>
        <u val="single"/>
        <sz val="11"/>
        <color theme="10"/>
        <rFont val="Calibri"/>
        <family val="2"/>
      </rPr>
      <t xml:space="preserve"> choisissez </t>
    </r>
    <r>
      <rPr>
        <u val="single"/>
        <sz val="11"/>
        <color theme="10"/>
        <rFont val="Calibri"/>
        <family val="2"/>
      </rPr>
      <t>le type de triathlon (</t>
    </r>
    <r>
      <rPr>
        <b/>
        <u val="single"/>
        <sz val="11"/>
        <color theme="10"/>
        <rFont val="Calibri"/>
        <family val="2"/>
      </rPr>
      <t>Généraliste ou Technique ou Spécial</t>
    </r>
    <r>
      <rPr>
        <u val="single"/>
        <sz val="11"/>
        <color theme="10"/>
        <rFont val="Calibri"/>
        <family val="2"/>
      </rPr>
      <t>) Liste déroulante au choix</t>
    </r>
  </si>
  <si>
    <t>2_2_2</t>
  </si>
  <si>
    <t>2_2_2_1</t>
  </si>
  <si>
    <t>2_2_2_2</t>
  </si>
  <si>
    <r>
      <rPr>
        <b/>
        <sz val="11"/>
        <color theme="1"/>
        <rFont val="Calibri"/>
        <family val="2"/>
        <scheme val="minor"/>
      </rPr>
      <t>Copier / coller</t>
    </r>
    <r>
      <rPr>
        <sz val="11"/>
        <color theme="1"/>
        <rFont val="Calibri"/>
        <family val="2"/>
        <scheme val="minor"/>
      </rPr>
      <t xml:space="preserve"> les noms prénoms et licences dans les onglets correspondants au choix :</t>
    </r>
  </si>
  <si>
    <t>2_2_2_1_1</t>
  </si>
  <si>
    <t>2_2_2_1_2</t>
  </si>
  <si>
    <t>2_2_2_1_3</t>
  </si>
  <si>
    <t>2_2_2_1_4</t>
  </si>
  <si>
    <t xml:space="preserve">"Perfs_SAUTS HORIZONTAUX" ou </t>
  </si>
  <si>
    <t>"Perfs_LANCERS"</t>
  </si>
  <si>
    <t xml:space="preserve">"Perfs_SAUTS HORIZONTAUX" et/ou </t>
  </si>
  <si>
    <t>"PERFS_SAUTS HORIZONTAUX (2)" (exemple  si choix technique de faire Longueur et Triple)</t>
  </si>
  <si>
    <t>"PERFS_LANCERS"</t>
  </si>
  <si>
    <t>"PERFS_LANCERS (2)" (exemple si choix technique de faire 2 Lancers)</t>
  </si>
  <si>
    <t>2_2_2_1_5</t>
  </si>
  <si>
    <t>2_2_2_1_6</t>
  </si>
  <si>
    <t>"PERFS_SAUTS VERTICAUX (2)" (exemple  si choix technique de faire Hauteur et Perche)</t>
  </si>
  <si>
    <t>2_2_3</t>
  </si>
  <si>
    <t>2_2_3_1</t>
  </si>
  <si>
    <t>Deux Concours Au choix :</t>
  </si>
  <si>
    <t xml:space="preserve">Une  Course </t>
  </si>
  <si>
    <t>Deux courses au choix :</t>
  </si>
  <si>
    <t>2_2_3_1_1</t>
  </si>
  <si>
    <t>2_2_3_1_2</t>
  </si>
  <si>
    <t>"PERFS_COURSES_MI (2)"</t>
  </si>
  <si>
    <t>2_3</t>
  </si>
  <si>
    <t>La catégorie et Genre (MiF ou MiM) Liste  déroulante au choix</t>
  </si>
  <si>
    <t>2_3_1</t>
  </si>
  <si>
    <t>2_3_2</t>
  </si>
  <si>
    <t>2_3_2_1</t>
  </si>
  <si>
    <t>2_3_2_2</t>
  </si>
  <si>
    <t>2_3_2_3</t>
  </si>
  <si>
    <t>2_3_2_4</t>
  </si>
  <si>
    <t>Si vous avez tout bien rempli, les totaux des points seront reportés sur la feuille d'engagement des Benjamin (e)s:</t>
  </si>
  <si>
    <t>Si vous avez tout correctement renseigné, les totaux des points seront reportés sur la feuille d'engagement des Minimes</t>
  </si>
  <si>
    <t>Attention ne jamais mettre dans un même onglet 2 fois le même N° licence</t>
  </si>
  <si>
    <t>Bon Défi !</t>
  </si>
  <si>
    <r>
      <rPr>
        <b/>
        <sz val="11"/>
        <color theme="1"/>
        <rFont val="Calibri"/>
        <family val="2"/>
        <scheme val="minor"/>
      </rPr>
      <t xml:space="preserve">Après les épreuves : </t>
    </r>
    <r>
      <rPr>
        <sz val="11"/>
        <color theme="1"/>
        <rFont val="Calibri"/>
        <family val="2"/>
        <scheme val="minor"/>
      </rPr>
      <t>Recopier les résultats des épreuves réalisées sur le terrain dans chaque onglet correspondant en précisant :</t>
    </r>
  </si>
  <si>
    <r>
      <rPr>
        <b/>
        <sz val="11"/>
        <color theme="1"/>
        <rFont val="Calibri"/>
        <family val="2"/>
        <scheme val="minor"/>
      </rPr>
      <t>Après les épreuves :</t>
    </r>
    <r>
      <rPr>
        <sz val="11"/>
        <color theme="1"/>
        <rFont val="Calibri"/>
        <family val="2"/>
        <scheme val="minor"/>
      </rPr>
      <t xml:space="preserve"> recopier les résultats des épreuves réalisées sur le terrain dans chaque onglet correspondant en précisant :</t>
    </r>
  </si>
  <si>
    <t>Vous avez à disposition sur le site de la ligue des feuilles de concours au formats PDF.</t>
  </si>
  <si>
    <t>N'oubliez pas de renseigner les dates.</t>
  </si>
  <si>
    <t xml:space="preserve">Si vous avez plus de 30 athlètes dans un concours ou des courses faites deux fichiers. </t>
  </si>
  <si>
    <t>2_2_3_2</t>
  </si>
  <si>
    <t>Un concours au choix</t>
  </si>
  <si>
    <t>2_2_2_2_1</t>
  </si>
  <si>
    <t>2_2_3_2_2</t>
  </si>
  <si>
    <t xml:space="preserve">Pour le triathon Généraliste </t>
  </si>
  <si>
    <t>Pour le triathon Technique</t>
  </si>
  <si>
    <t>Pour le triathon Spécial</t>
  </si>
  <si>
    <r>
      <t xml:space="preserve">Enregistrez vos fichiers avec le nom du club et la date (Exemple : </t>
    </r>
    <r>
      <rPr>
        <b/>
        <sz val="11"/>
        <color theme="5"/>
        <rFont val="Calibri"/>
        <family val="2"/>
        <scheme val="minor"/>
      </rPr>
      <t>AixAthle_21-03-18</t>
    </r>
    <r>
      <rPr>
        <b/>
        <sz val="11"/>
        <color theme="1"/>
        <rFont val="Calibri"/>
        <family val="2"/>
        <scheme val="minor"/>
      </rPr>
      <t xml:space="preserve">) et le faire parvenir par mail </t>
    </r>
  </si>
  <si>
    <t>Adresse mail</t>
  </si>
  <si>
    <t>crj@lapaca.fr</t>
  </si>
  <si>
    <t xml:space="preserve">A imprimer </t>
  </si>
  <si>
    <r>
      <t xml:space="preserve">Feuille de courses Minimes </t>
    </r>
    <r>
      <rPr>
        <sz val="16"/>
        <color rgb="FFFF0000"/>
        <rFont val="Calibri"/>
        <family val="2"/>
        <scheme val="minor"/>
      </rPr>
      <t>Les temps doivent être saisis au 1/10ème de seconde supérieur ex. 50m : 7"12 = 7,2</t>
    </r>
  </si>
  <si>
    <t>Feuille réservée aux relevés des concours de Triathlon Technique Minimes</t>
  </si>
  <si>
    <t xml:space="preserve">Catégorie Mi </t>
  </si>
  <si>
    <r>
      <t xml:space="preserve">Feuille réservée aux relevés des courses  du triathlon Spécial Minimes </t>
    </r>
    <r>
      <rPr>
        <sz val="16"/>
        <color rgb="FFFF0000"/>
        <rFont val="Calibri"/>
        <family val="2"/>
        <scheme val="minor"/>
      </rPr>
      <t>Les temps doivent être saisis au 1/10ème de seconde supérieur ex. 50m : 7"12 = 7,2</t>
    </r>
  </si>
  <si>
    <t>Date de fin :</t>
  </si>
  <si>
    <t>Catégorie             BeF-BeM</t>
  </si>
  <si>
    <t xml:space="preserve">Catégorie              MiF-MiM 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</si>
</sst>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77" formatCode="General"/>
    <numFmt numFmtId="178" formatCode="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u val="single"/>
      <sz val="11"/>
      <color theme="10"/>
      <name val="Calibri"/>
      <family val="2"/>
    </font>
    <font>
      <b/>
      <u val="single"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54"/>
      <name val="Calibri"/>
      <family val="2"/>
    </font>
    <font>
      <b/>
      <sz val="46"/>
      <name val="Calibri"/>
      <family val="2"/>
    </font>
    <font>
      <b/>
      <sz val="28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28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 vertical="center"/>
    </xf>
    <xf numFmtId="0" fontId="0" fillId="0" borderId="5" xfId="0" applyBorder="1"/>
    <xf numFmtId="0" fontId="0" fillId="0" borderId="0" xfId="0" applyNumberFormat="1" applyBorder="1" applyAlignment="1">
      <alignment horizontal="center" vertical="center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9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2" borderId="0" xfId="0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right" vertical="center"/>
    </xf>
    <xf numFmtId="0" fontId="0" fillId="0" borderId="12" xfId="0" applyBorder="1" applyProtection="1">
      <protection locked="0"/>
    </xf>
    <xf numFmtId="0" fontId="0" fillId="0" borderId="4" xfId="0" applyNumberFormat="1" applyBorder="1"/>
    <xf numFmtId="2" fontId="0" fillId="0" borderId="0" xfId="0" applyNumberFormat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/>
    <xf numFmtId="0" fontId="0" fillId="0" borderId="0" xfId="0" applyBorder="1" applyAlignment="1">
      <alignment/>
    </xf>
    <xf numFmtId="0" fontId="0" fillId="0" borderId="0" xfId="0" applyNumberFormat="1" applyBorder="1"/>
    <xf numFmtId="0" fontId="5" fillId="0" borderId="0" xfId="0" applyFont="1"/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14" xfId="0" applyBorder="1" applyProtection="1">
      <protection locked="0"/>
    </xf>
    <xf numFmtId="0" fontId="0" fillId="0" borderId="27" xfId="0" applyBorder="1" applyProtection="1">
      <protection locked="0"/>
    </xf>
    <xf numFmtId="2" fontId="0" fillId="0" borderId="27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Protection="1">
      <protection locked="0"/>
    </xf>
    <xf numFmtId="0" fontId="0" fillId="0" borderId="17" xfId="0" applyNumberFormat="1" applyBorder="1" applyAlignment="1">
      <alignment horizontal="center" vertical="center"/>
    </xf>
    <xf numFmtId="0" fontId="0" fillId="0" borderId="18" xfId="0" applyBorder="1" applyProtection="1">
      <protection locked="0"/>
    </xf>
    <xf numFmtId="0" fontId="0" fillId="0" borderId="28" xfId="0" applyBorder="1" applyProtection="1">
      <protection locked="0"/>
    </xf>
    <xf numFmtId="2" fontId="0" fillId="0" borderId="2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2" fontId="0" fillId="0" borderId="17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29" xfId="0" applyNumberFormat="1" applyBorder="1" applyAlignment="1" applyProtection="1">
      <alignment horizontal="center" vertical="center"/>
      <protection locked="0"/>
    </xf>
    <xf numFmtId="2" fontId="0" fillId="0" borderId="27" xfId="0" applyNumberForma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 vertical="center"/>
    </xf>
    <xf numFmtId="0" fontId="0" fillId="0" borderId="5" xfId="0" applyNumberFormat="1" applyBorder="1"/>
    <xf numFmtId="2" fontId="0" fillId="0" borderId="23" xfId="0" applyNumberFormat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0" borderId="30" xfId="0" applyNumberFormat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NumberFormat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/>
    </xf>
    <xf numFmtId="0" fontId="0" fillId="0" borderId="24" xfId="0" applyNumberFormat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/>
      <protection/>
    </xf>
    <xf numFmtId="0" fontId="0" fillId="0" borderId="33" xfId="0" applyNumberFormat="1" applyBorder="1" applyAlignment="1" applyProtection="1">
      <alignment horizontal="center"/>
      <protection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20" applyAlignment="1" applyProtection="1">
      <alignment/>
      <protection/>
    </xf>
    <xf numFmtId="0" fontId="2" fillId="0" borderId="0" xfId="0" applyFont="1"/>
    <xf numFmtId="0" fontId="11" fillId="0" borderId="0" xfId="20" applyFont="1" applyAlignment="1" applyProtection="1">
      <alignment/>
      <protection/>
    </xf>
    <xf numFmtId="0" fontId="12" fillId="0" borderId="0" xfId="0" applyFont="1"/>
    <xf numFmtId="16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0" fontId="13" fillId="0" borderId="0" xfId="0" applyFont="1"/>
    <xf numFmtId="0" fontId="0" fillId="0" borderId="35" xfId="0" applyBorder="1" applyAlignment="1">
      <alignment horizontal="center" vertical="center" wrapText="1"/>
    </xf>
    <xf numFmtId="0" fontId="0" fillId="0" borderId="36" xfId="0" applyNumberFormat="1" applyBorder="1" applyAlignment="1" applyProtection="1">
      <alignment horizontal="center" vertical="center"/>
      <protection locked="0"/>
    </xf>
    <xf numFmtId="0" fontId="0" fillId="0" borderId="36" xfId="0" applyNumberFormat="1" applyBorder="1" applyProtection="1">
      <protection locked="0"/>
    </xf>
    <xf numFmtId="0" fontId="0" fillId="0" borderId="37" xfId="0" applyNumberFormat="1" applyBorder="1" applyProtection="1">
      <protection locked="0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8" xfId="0" applyBorder="1"/>
    <xf numFmtId="0" fontId="0" fillId="2" borderId="28" xfId="0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Border="1" applyAlignment="1" applyProtection="1">
      <alignment horizontal="center" vertical="center"/>
      <protection/>
    </xf>
    <xf numFmtId="0" fontId="0" fillId="0" borderId="28" xfId="0" applyNumberFormat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2" fontId="0" fillId="0" borderId="24" xfId="0" applyNumberFormat="1" applyBorder="1" applyAlignment="1" applyProtection="1">
      <alignment horizontal="center" vertical="center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2" fontId="0" fillId="0" borderId="28" xfId="0" applyNumberForma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 locked="0"/>
    </xf>
    <xf numFmtId="164" fontId="0" fillId="0" borderId="24" xfId="0" applyNumberFormat="1" applyBorder="1" applyAlignment="1" applyProtection="1">
      <alignment horizontal="center" vertical="center"/>
      <protection locked="0"/>
    </xf>
    <xf numFmtId="164" fontId="0" fillId="0" borderId="28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65" fontId="0" fillId="0" borderId="29" xfId="0" applyNumberFormat="1" applyBorder="1" applyAlignment="1" applyProtection="1">
      <alignment horizontal="center" vertical="center"/>
      <protection locked="0"/>
    </xf>
    <xf numFmtId="165" fontId="0" fillId="0" borderId="16" xfId="0" applyNumberFormat="1" applyBorder="1" applyAlignment="1" applyProtection="1">
      <alignment horizontal="center" vertical="center"/>
      <protection locked="0"/>
    </xf>
    <xf numFmtId="165" fontId="0" fillId="0" borderId="23" xfId="0" applyNumberFormat="1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 applyProtection="1">
      <alignment horizontal="center" vertical="center"/>
      <protection locked="0"/>
    </xf>
    <xf numFmtId="165" fontId="0" fillId="0" borderId="30" xfId="0" applyNumberFormat="1" applyBorder="1" applyAlignment="1" applyProtection="1">
      <alignment horizontal="center" vertical="center"/>
      <protection locked="0"/>
    </xf>
    <xf numFmtId="165" fontId="0" fillId="0" borderId="27" xfId="0" applyNumberFormat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  <protection locked="0"/>
    </xf>
    <xf numFmtId="165" fontId="0" fillId="0" borderId="28" xfId="0" applyNumberFormat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2" fontId="0" fillId="0" borderId="47" xfId="0" applyNumberForma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2" fontId="0" fillId="0" borderId="48" xfId="0" applyNumberFormat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18" xfId="0" applyBorder="1" applyAlignment="1">
      <alignment horizontal="right" vertical="center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2" fontId="0" fillId="0" borderId="52" xfId="0" applyNumberFormat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horizontal="center" vertical="center" wrapText="1"/>
      <protection locked="0"/>
    </xf>
    <xf numFmtId="2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6" xfId="0" applyBorder="1" applyAlignment="1">
      <alignment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dxfs count="330">
    <dxf>
      <numFmt numFmtId="177" formatCode="General"/>
      <border>
        <left style="thin"/>
        <right style="medium"/>
        <top style="thin"/>
        <bottom style="thin"/>
      </border>
      <protection hidden="1" locked="0"/>
    </dxf>
    <dxf>
      <border>
        <left style="thin"/>
        <right style="thin"/>
        <top style="thin"/>
        <bottom style="thin"/>
      </border>
      <protection hidden="1" locked="0"/>
    </dxf>
    <dxf>
      <border>
        <left style="medium"/>
        <right style="thin"/>
        <top style="thin"/>
        <bottom style="thin"/>
      </border>
      <protection hidden="1" locked="0"/>
    </dxf>
    <dxf>
      <border>
        <left style="thin"/>
        <right style="medium"/>
        <top style="thin"/>
        <bottom style="thin"/>
      </border>
      <protection hidden="1" locked="0"/>
    </dxf>
    <dxf>
      <border>
        <left style="thin"/>
        <right style="thin"/>
        <top style="thin"/>
        <bottom style="thin"/>
      </border>
      <protection hidden="1" locked="0"/>
    </dxf>
    <dxf>
      <border>
        <left style="medium"/>
        <right style="thin"/>
        <top style="thin"/>
        <bottom style="thin"/>
        <vertical/>
        <horizontal/>
      </border>
      <protection hidden="1" locked="0"/>
    </dxf>
    <dxf>
      <border>
        <left style="thin"/>
        <right style="medium"/>
        <top style="thin"/>
        <bottom style="thin"/>
      </border>
      <protection hidden="1" locked="0"/>
    </dxf>
    <dxf>
      <border>
        <left style="thin"/>
        <right style="thin"/>
        <top style="thin"/>
        <bottom style="thin"/>
      </border>
      <protection hidden="1" locked="0"/>
    </dxf>
    <dxf>
      <border>
        <left style="medium"/>
        <right style="thin"/>
        <top style="thin"/>
        <bottom style="thin"/>
        <vertical/>
        <horizontal/>
      </border>
      <protection hidden="1" locked="0"/>
    </dxf>
    <dxf>
      <border>
        <left style="thin"/>
        <right style="medium"/>
        <top style="thin"/>
        <bottom style="thin"/>
      </border>
      <protection hidden="1" locked="0"/>
    </dxf>
    <dxf>
      <border>
        <left style="thin"/>
        <right style="thin"/>
        <top style="thin"/>
        <bottom style="thin"/>
      </border>
      <protection hidden="1" locked="0"/>
    </dxf>
    <dxf>
      <border>
        <left style="medium"/>
        <right style="thin"/>
        <top style="thin"/>
        <bottom style="thin"/>
        <vertical/>
        <horizontal/>
      </border>
      <protection hidden="1" locked="0"/>
    </dxf>
    <dxf>
      <border>
        <left style="thin"/>
        <right style="medium"/>
        <top style="thin"/>
        <bottom style="thin"/>
      </border>
      <protection hidden="1" locked="0"/>
    </dxf>
    <dxf>
      <border>
        <left style="thin"/>
        <right style="thin"/>
        <top style="thin"/>
        <bottom style="thin"/>
      </border>
      <protection hidden="1" locked="0"/>
    </dxf>
    <dxf>
      <border>
        <left style="medium"/>
        <right style="thin"/>
        <top style="thin"/>
        <bottom style="thin"/>
        <vertical/>
        <horizontal/>
      </border>
      <protection hidden="1" locked="0"/>
    </dxf>
    <dxf>
      <numFmt numFmtId="177" formatCode="General"/>
      <border>
        <left style="thin"/>
        <right style="medium"/>
        <top style="thin"/>
        <bottom style="thin"/>
      </border>
      <protection hidden="1" locked="0"/>
    </dxf>
    <dxf>
      <border>
        <left style="thin"/>
        <right style="thin"/>
        <top style="thin"/>
        <bottom style="thin"/>
      </border>
      <protection hidden="1" locked="0"/>
    </dxf>
    <dxf>
      <border>
        <left style="medium"/>
        <right style="thin"/>
        <top style="thin"/>
        <bottom style="thin"/>
      </border>
      <protection hidden="1" locked="0"/>
    </dxf>
    <dxf>
      <numFmt numFmtId="177" formatCode="General"/>
      <border>
        <left style="thin"/>
        <right style="medium"/>
        <top style="thin"/>
        <bottom style="thin"/>
      </border>
      <protection hidden="1" locked="0"/>
    </dxf>
    <dxf>
      <border>
        <left style="thin"/>
        <right style="thin"/>
        <top style="thin"/>
        <bottom style="thin"/>
      </border>
      <protection hidden="1" locked="0"/>
    </dxf>
    <dxf>
      <border>
        <left style="medium"/>
        <right style="thin"/>
        <top style="thin"/>
        <bottom style="thin"/>
        <vertical/>
        <horizontal/>
      </border>
      <protection hidden="1" locked="0"/>
    </dxf>
    <dxf>
      <numFmt numFmtId="177" formatCode="General"/>
      <border>
        <left style="thin"/>
        <right style="medium"/>
        <top style="thin"/>
        <bottom style="thin"/>
      </border>
      <protection hidden="1" locked="0"/>
    </dxf>
    <dxf>
      <border>
        <left style="thin"/>
        <right style="thin"/>
        <top style="thin"/>
        <bottom style="thin"/>
      </border>
      <protection hidden="1" locked="0"/>
    </dxf>
    <dxf>
      <border>
        <left style="medium"/>
        <right style="thin"/>
        <top style="thin"/>
        <bottom style="thin"/>
        <vertical/>
        <horizontal/>
      </border>
      <protection hidden="1" locked="0"/>
    </dxf>
    <dxf>
      <numFmt numFmtId="177" formatCode="General"/>
      <alignment horizontal="center" textRotation="0" wrapText="1" shrinkToFit="1" readingOrder="0"/>
    </dxf>
    <dxf>
      <numFmt numFmtId="177" formatCode="General"/>
      <alignment horizontal="center" textRotation="0" wrapText="1" shrinkToFit="1" readingOrder="0"/>
    </dxf>
    <dxf>
      <numFmt numFmtId="177" formatCode="General"/>
      <alignment horizontal="center" textRotation="0" wrapText="1" shrinkToFit="1" readingOrder="0"/>
    </dxf>
    <dxf>
      <numFmt numFmtId="177" formatCode="General"/>
      <alignment horizontal="center" textRotation="0" wrapText="1" shrinkToFit="1" readingOrder="0"/>
    </dxf>
    <dxf>
      <numFmt numFmtId="177" formatCode="General"/>
      <alignment horizontal="center" textRotation="0" wrapText="1" shrinkToFit="1" readingOrder="0"/>
    </dxf>
    <dxf>
      <numFmt numFmtId="177" formatCode="General"/>
    </dxf>
    <dxf>
      <numFmt numFmtId="177" formatCode="General"/>
      <alignment horizontal="center" vertical="bottom" textRotation="0" wrapText="1" shrinkToFit="1" readingOrder="0"/>
    </dxf>
    <dxf>
      <numFmt numFmtId="177" formatCode="General"/>
      <alignment horizontal="center" vertical="bottom" textRotation="0" wrapText="1" shrinkToFit="1" readingOrder="0"/>
    </dxf>
    <dxf>
      <numFmt numFmtId="177" formatCode="General"/>
      <alignment horizontal="center" textRotation="0" wrapText="1" shrinkToFit="1" readingOrder="0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0.00"/>
      <alignment horizontal="center" vertical="center" textRotation="0" wrapText="1" shrinkToFit="1" readingOrder="0"/>
    </dxf>
    <dxf>
      <numFmt numFmtId="178" formatCode="0.00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  <border>
        <left/>
        <right style="medium"/>
        <top/>
        <bottom/>
      </border>
    </dxf>
    <dxf>
      <numFmt numFmtId="178" formatCode="0.00"/>
      <alignment horizontal="center" vertical="center" textRotation="0" wrapText="1" shrinkToFit="1" readingOrder="0"/>
      <protection hidden="1" locked="0"/>
    </dxf>
    <dxf>
      <alignment horizontal="center" vertical="center" textRotation="0" wrapText="1" shrinkToFit="1" readingOrder="0"/>
      <protection hidden="1" locked="0"/>
    </dxf>
    <dxf>
      <alignment horizontal="center" vertical="center" textRotation="0" wrapText="1" shrinkToFit="1" readingOrder="0"/>
      <protection hidden="1" locked="0"/>
    </dxf>
    <dxf>
      <alignment horizontal="center" vertical="center" textRotation="0" wrapText="1" shrinkToFit="1" readingOrder="0"/>
      <protection hidden="1" locked="0"/>
    </dxf>
    <dxf>
      <alignment horizontal="center" vertical="center" textRotation="0" wrapText="1" shrinkToFit="1" readingOrder="0"/>
      <protection hidden="1" locked="0"/>
    </dxf>
    <dxf>
      <numFmt numFmtId="164" formatCode="0.000"/>
      <alignment horizontal="center" vertical="center" textRotation="0" wrapText="1" shrinkToFit="1" readingOrder="0"/>
      <protection hidden="1" locked="0"/>
    </dxf>
    <dxf>
      <numFmt numFmtId="165" formatCode="0.0"/>
      <alignment horizontal="center" vertical="center" textRotation="0" wrapText="1" shrinkToFit="1" readingOrder="0"/>
      <protection hidden="1" locked="0"/>
    </dxf>
    <dxf>
      <numFmt numFmtId="165" formatCode="0.0"/>
      <alignment horizontal="center" vertical="center" textRotation="0" wrapText="1" shrinkToFit="1" readingOrder="0"/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protection hidden="1" locked="0"/>
    </dxf>
    <dxf>
      <font>
        <b/>
        <i val="0"/>
        <color rgb="FF00B0F0"/>
      </font>
      <border/>
    </dxf>
    <dxf>
      <font>
        <b/>
        <i val="0"/>
        <color rgb="FFFF000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numFmt numFmtId="177" formatCode="General"/>
      <alignment horizontal="center" textRotation="0" wrapText="1" shrinkToFit="1" readingOrder="0"/>
    </dxf>
    <dxf>
      <numFmt numFmtId="177" formatCode="General"/>
      <alignment horizontal="center" textRotation="0" wrapText="1" shrinkToFit="1" readingOrder="0"/>
    </dxf>
    <dxf>
      <numFmt numFmtId="177" formatCode="General"/>
      <alignment horizontal="center" textRotation="0" wrapText="1" shrinkToFit="1" readingOrder="0"/>
    </dxf>
    <dxf>
      <numFmt numFmtId="177" formatCode="General"/>
      <alignment horizontal="center" textRotation="0" wrapText="1" shrinkToFit="1" readingOrder="0"/>
    </dxf>
    <dxf>
      <numFmt numFmtId="177" formatCode="General"/>
      <alignment horizontal="center" textRotation="0" wrapText="1" shrinkToFit="1" readingOrder="0"/>
    </dxf>
    <dxf>
      <numFmt numFmtId="177" formatCode="General"/>
    </dxf>
    <dxf>
      <numFmt numFmtId="177" formatCode="General"/>
      <alignment horizontal="center" vertical="bottom" textRotation="0" wrapText="1" shrinkToFit="1" readingOrder="0"/>
    </dxf>
    <dxf>
      <numFmt numFmtId="177" formatCode="General"/>
      <alignment horizontal="center" vertical="bottom" textRotation="0" wrapText="1" shrinkToFit="1" readingOrder="0"/>
    </dxf>
    <dxf>
      <numFmt numFmtId="177" formatCode="General"/>
      <alignment horizontal="center" textRotation="0" wrapText="1" shrinkToFit="1" readingOrder="0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0.00"/>
      <alignment horizontal="center" vertical="center" textRotation="0" wrapText="1" shrinkToFit="1" readingOrder="0"/>
    </dxf>
    <dxf>
      <numFmt numFmtId="178" formatCode="0.00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  <border>
        <left/>
        <right style="medium"/>
        <top/>
        <bottom/>
      </border>
    </dxf>
    <dxf>
      <numFmt numFmtId="164" formatCode="0.000"/>
      <alignment horizontal="center" vertical="center" textRotation="0" wrapText="1" shrinkToFit="1" readingOrder="0"/>
      <protection hidden="1" locked="0"/>
    </dxf>
    <dxf>
      <numFmt numFmtId="165" formatCode="0.0"/>
      <alignment horizontal="center" vertical="center" textRotation="0" wrapText="1" shrinkToFit="1" readingOrder="0"/>
      <protection hidden="1" locked="0"/>
    </dxf>
    <dxf>
      <numFmt numFmtId="165" formatCode="0.0"/>
      <alignment horizontal="center" vertical="center" textRotation="0" wrapText="1" shrinkToFit="1" readingOrder="0"/>
      <protection hidden="1" locked="0"/>
    </dxf>
    <dxf>
      <numFmt numFmtId="165" formatCode="0.0"/>
      <alignment horizontal="center" vertical="center" textRotation="0" wrapText="1" shrinkToFit="1" readingOrder="0"/>
      <protection hidden="1" locked="0"/>
    </dxf>
    <dxf>
      <numFmt numFmtId="164" formatCode="0.000"/>
      <alignment horizontal="center" vertical="center" textRotation="0" wrapText="1" shrinkToFit="1" readingOrder="0"/>
      <protection hidden="1" locked="0"/>
    </dxf>
    <dxf>
      <numFmt numFmtId="164" formatCode="0.000"/>
      <alignment horizontal="center" vertical="center" textRotation="0" wrapText="1" shrinkToFit="1" readingOrder="0"/>
      <protection hidden="1" locked="0"/>
    </dxf>
    <dxf>
      <numFmt numFmtId="165" formatCode="0.0"/>
      <alignment horizontal="center" vertical="center" textRotation="0" wrapText="1" shrinkToFit="1" readingOrder="0"/>
      <protection hidden="1" locked="0"/>
    </dxf>
    <dxf>
      <numFmt numFmtId="165" formatCode="0.0"/>
      <alignment horizontal="center" vertical="center" textRotation="0" wrapText="1" shrinkToFit="1" readingOrder="0"/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protection hidden="1" locked="0"/>
    </dxf>
    <dxf>
      <font>
        <b/>
        <i val="0"/>
        <color rgb="FF00B0F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  <dxf>
      <numFmt numFmtId="177" formatCode="General"/>
      <alignment horizontal="center" textRotation="0" wrapText="1" shrinkToFit="1" readingOrder="0"/>
    </dxf>
    <dxf>
      <numFmt numFmtId="177" formatCode="General"/>
      <alignment horizontal="center" textRotation="0" wrapText="1" shrinkToFit="1" readingOrder="0"/>
    </dxf>
    <dxf>
      <numFmt numFmtId="177" formatCode="General"/>
      <alignment horizontal="center" textRotation="0" wrapText="1" shrinkToFit="1" readingOrder="0"/>
    </dxf>
    <dxf>
      <numFmt numFmtId="177" formatCode="General"/>
      <alignment horizontal="center" textRotation="0" wrapText="1" shrinkToFit="1" readingOrder="0"/>
    </dxf>
    <dxf>
      <numFmt numFmtId="177" formatCode="General"/>
      <alignment horizontal="center" textRotation="0" wrapText="1" shrinkToFit="1" readingOrder="0"/>
    </dxf>
    <dxf>
      <numFmt numFmtId="177" formatCode="General"/>
    </dxf>
    <dxf>
      <numFmt numFmtId="177" formatCode="General"/>
      <alignment horizontal="center" textRotation="0" wrapText="1" shrinkToFit="1" readingOrder="0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0.00"/>
      <alignment horizontal="center" vertical="center" textRotation="0" wrapText="1" shrinkToFit="1" readingOrder="0"/>
    </dxf>
    <dxf>
      <numFmt numFmtId="178" formatCode="0.00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  <border>
        <left/>
        <right style="medium"/>
        <top/>
        <bottom/>
      </border>
    </dxf>
    <dxf>
      <numFmt numFmtId="177" formatCode="General"/>
      <alignment horizontal="center" vertical="center" textRotation="0" wrapText="1" shrinkToFit="1" readingOrder="0"/>
      <border>
        <left style="thin"/>
        <right style="medium"/>
        <top style="thin"/>
        <bottom style="thin"/>
      </border>
    </dxf>
    <dxf>
      <numFmt numFmtId="164" formatCode="0.0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5" formatCode="0.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5" formatCode="0.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0.0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5" formatCode="0.0"/>
      <alignment horizontal="center" vertical="center" textRotation="0" wrapText="1" shrinkToFit="1" readingOrder="0"/>
      <border>
        <left style="medium"/>
        <right style="thin"/>
        <top style="thin"/>
        <bottom style="thin"/>
      </border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thin"/>
      </border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medium"/>
        <right style="thin"/>
        <top style="thin"/>
        <bottom style="thin"/>
      </border>
      <protection hidden="1" locked="0"/>
    </dxf>
    <dxf>
      <numFmt numFmtId="177" formatCode="General"/>
      <border>
        <left style="thin"/>
        <right style="medium"/>
        <top style="thin"/>
        <bottom style="thin"/>
      </border>
      <protection hidden="1" locked="0"/>
    </dxf>
    <dxf>
      <border>
        <left style="thin"/>
        <right style="thin"/>
        <top style="thin"/>
        <bottom style="thin"/>
      </border>
      <protection hidden="1" locked="0"/>
    </dxf>
    <dxf>
      <border>
        <left style="medium"/>
        <right style="thin"/>
        <top style="thin"/>
        <bottom style="thin"/>
        <vertical/>
        <horizontal/>
      </border>
      <protection hidden="1" locked="0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0.00"/>
    </dxf>
    <dxf>
      <numFmt numFmtId="177" formatCode="General"/>
    </dxf>
    <dxf>
      <numFmt numFmtId="177" formatCode="General"/>
    </dxf>
    <dxf>
      <numFmt numFmtId="177" formatCode="General"/>
      <border>
        <left/>
        <right style="medium"/>
        <top/>
        <bottom/>
      </border>
    </dxf>
    <dxf>
      <numFmt numFmtId="177" formatCode="General"/>
      <alignment horizontal="center" vertical="center" textRotation="0" wrapText="1" shrinkToFit="1" readingOrder="0"/>
      <border>
        <left style="thin"/>
        <right style="medium"/>
        <top style="thin"/>
        <bottom style="thin"/>
      </border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medium"/>
        <right style="thin"/>
        <top style="thin"/>
        <bottom style="thin"/>
      </border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thin"/>
      </border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medium"/>
        <right style="thin"/>
        <top style="thin"/>
        <bottom style="thin"/>
      </border>
      <protection hidden="1" locked="0"/>
    </dxf>
    <dxf>
      <border>
        <left style="thin"/>
        <right style="medium"/>
        <top style="thin"/>
        <bottom style="thin"/>
      </border>
      <protection hidden="1" locked="0"/>
    </dxf>
    <dxf>
      <border>
        <left style="thin"/>
        <right style="thin"/>
        <top style="thin"/>
        <bottom style="thin"/>
      </border>
      <protection hidden="1" locked="0"/>
    </dxf>
    <dxf>
      <border>
        <left style="medium"/>
        <right style="thin"/>
        <top style="thin"/>
        <bottom style="thin"/>
        <vertical/>
        <horizontal/>
      </border>
      <protection hidden="1" locked="0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0.00"/>
    </dxf>
    <dxf>
      <numFmt numFmtId="177" formatCode="General"/>
    </dxf>
    <dxf>
      <numFmt numFmtId="177" formatCode="General"/>
    </dxf>
    <dxf>
      <numFmt numFmtId="177" formatCode="General"/>
      <border>
        <left/>
        <right style="medium"/>
        <top/>
        <bottom/>
      </border>
    </dxf>
    <dxf>
      <numFmt numFmtId="177" formatCode="General"/>
      <alignment horizontal="center" vertical="center" textRotation="0" wrapText="1" shrinkToFit="1" readingOrder="0"/>
      <border>
        <left style="thin"/>
        <right style="medium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medium"/>
        <right style="thin"/>
        <top style="thin"/>
        <bottom style="thin"/>
      </border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thin"/>
      </border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medium"/>
        <right style="thin"/>
        <top style="thin"/>
        <bottom style="thin"/>
      </border>
      <protection hidden="1" locked="0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  <border>
        <left style="medium"/>
        <right/>
        <top/>
        <bottom/>
      </border>
    </dxf>
    <dxf>
      <numFmt numFmtId="177" formatCode="General"/>
      <alignment horizontal="center" vertical="center" textRotation="0" wrapText="1" shrinkToFit="1" readingOrder="0"/>
    </dxf>
    <dxf>
      <numFmt numFmtId="178" formatCode="0.00"/>
      <alignment horizontal="center" vertical="center" textRotation="0" wrapText="1" shrinkToFit="1" readingOrder="0"/>
    </dxf>
    <dxf>
      <numFmt numFmtId="178" formatCode="0.00"/>
      <alignment horizontal="center" vertical="center" textRotation="0" wrapText="1" shrinkToFit="1" readingOrder="0"/>
      <border>
        <left style="thin"/>
        <right style="medium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medium"/>
        <right style="thin"/>
        <top style="thin"/>
        <bottom style="thin"/>
      </border>
      <protection hidden="1" locked="0"/>
    </dxf>
    <dxf>
      <fill>
        <patternFill patternType="none"/>
      </fill>
      <alignment horizontal="center" vertical="center" textRotation="0" wrapText="1" shrinkToFit="1" readingOrder="0"/>
      <border>
        <left style="medium"/>
        <right style="medium"/>
        <top style="thin"/>
        <bottom style="thin"/>
        <vertical/>
        <horizontal/>
      </border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thin"/>
      </border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medium"/>
        <right style="thin"/>
        <top style="thin"/>
        <bottom style="thin"/>
      </border>
      <protection hidden="1" locked="0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  <border>
        <left style="medium"/>
        <right/>
        <top/>
        <bottom/>
      </border>
    </dxf>
    <dxf>
      <numFmt numFmtId="177" formatCode="General"/>
      <alignment horizontal="center" vertical="center" textRotation="0" wrapText="1" shrinkToFit="1" readingOrder="0"/>
    </dxf>
    <dxf>
      <numFmt numFmtId="178" formatCode="0.00"/>
      <alignment horizontal="center" vertical="center" textRotation="0" wrapText="1" shrinkToFit="1" readingOrder="0"/>
    </dxf>
    <dxf>
      <numFmt numFmtId="178" formatCode="0.00"/>
      <alignment horizontal="center" vertical="center" textRotation="0" wrapText="1" shrinkToFit="1" readingOrder="0"/>
      <border>
        <left style="thin"/>
        <right style="medium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medium"/>
        <right style="thin"/>
        <top style="thin"/>
        <bottom style="thin"/>
      </border>
      <protection hidden="1" locked="0"/>
    </dxf>
    <dxf>
      <fill>
        <patternFill patternType="none"/>
      </fill>
      <alignment horizontal="center" vertical="center" textRotation="0" wrapText="1" shrinkToFit="1" readingOrder="0"/>
      <border>
        <left style="medium"/>
        <right style="medium"/>
        <top style="thin"/>
        <bottom style="thin"/>
        <vertical/>
        <horizontal/>
      </border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thin"/>
      </border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medium"/>
        <right style="thin"/>
        <top style="thin"/>
        <bottom style="thin"/>
      </border>
      <protection hidden="1" locked="0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  <border>
        <left style="medium"/>
        <right/>
        <top/>
        <bottom/>
      </border>
    </dxf>
    <dxf>
      <numFmt numFmtId="177" formatCode="General"/>
      <alignment horizontal="center" vertical="center" textRotation="0" wrapText="1" shrinkToFit="1" readingOrder="0"/>
      <border>
        <left style="thin"/>
        <right style="medium"/>
        <top style="thin"/>
        <bottom style="thin"/>
      </border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medium"/>
        <right style="thin"/>
        <top style="thin"/>
        <bottom style="thin"/>
      </border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thin"/>
      </border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medium"/>
        <right style="thin"/>
        <top style="thin"/>
        <bottom style="thin"/>
      </border>
      <protection hidden="1" locked="0"/>
    </dxf>
    <dxf>
      <border>
        <left style="thin"/>
        <right style="medium"/>
        <top style="thin"/>
        <bottom style="thin"/>
      </border>
      <protection hidden="1" locked="0"/>
    </dxf>
    <dxf>
      <border>
        <left style="thin"/>
        <right style="thin"/>
        <top style="thin"/>
        <bottom style="thin"/>
      </border>
      <protection hidden="1" locked="0"/>
    </dxf>
    <dxf>
      <border>
        <left style="medium"/>
        <right style="thin"/>
        <top style="thin"/>
        <bottom style="thin"/>
        <vertical/>
        <horizontal/>
      </border>
      <protection hidden="1" locked="0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  <border>
        <left style="medium"/>
        <right/>
        <top/>
        <bottom/>
      </border>
    </dxf>
    <dxf>
      <numFmt numFmtId="177" formatCode="General"/>
      <alignment horizontal="center" vertical="center" textRotation="0" wrapText="1" shrinkToFit="1" readingOrder="0"/>
      <border>
        <left style="thin"/>
        <right style="medium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medium"/>
        <right style="thin"/>
        <top style="thin"/>
        <bottom style="thin"/>
      </border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thin"/>
      </border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medium"/>
        <right style="thin"/>
        <top style="thin"/>
        <bottom style="thin"/>
      </border>
      <protection hidden="1" locked="0"/>
    </dxf>
    <dxf>
      <numFmt numFmtId="178" formatCode="0.00"/>
      <alignment horizontal="center" vertical="center" textRotation="0" wrapText="1" shrinkToFit="1" readingOrder="0"/>
    </dxf>
    <dxf>
      <numFmt numFmtId="178" formatCode="0.00"/>
      <alignment horizontal="center" vertical="center" textRotation="0" wrapText="1" shrinkToFit="1" readingOrder="0"/>
    </dxf>
    <dxf>
      <numFmt numFmtId="178" formatCode="0.00"/>
      <alignment horizontal="center" vertical="center" textRotation="0" wrapText="1" shrinkToFit="1" readingOrder="0"/>
    </dxf>
    <dxf>
      <numFmt numFmtId="178" formatCode="0.00"/>
      <alignment horizontal="center" vertical="center" textRotation="0" wrapText="1" shrinkToFit="1" readingOrder="0"/>
    </dxf>
    <dxf>
      <numFmt numFmtId="178" formatCode="0.00"/>
      <alignment horizontal="center" vertical="center" textRotation="0" wrapText="1" shrinkToFit="1" readingOrder="0"/>
    </dxf>
    <dxf>
      <numFmt numFmtId="178" formatCode="0.00"/>
      <alignment horizontal="center" vertical="center" textRotation="0" wrapText="1" shrinkToFit="1" readingOrder="0"/>
    </dxf>
    <dxf>
      <numFmt numFmtId="178" formatCode="0.00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77" formatCode="General"/>
      <border>
        <left style="thin"/>
        <right/>
        <top style="thin"/>
        <bottom style="thin"/>
      </border>
      <protection hidden="1" locked="0"/>
    </dxf>
    <dxf>
      <border>
        <left/>
        <right style="medium"/>
        <top/>
        <bottom/>
        <vertical/>
        <horizontal/>
      </border>
      <protection hidden="1" locked="0"/>
    </dxf>
    <dxf>
      <numFmt numFmtId="177" formatCode="General"/>
      <alignment horizontal="center" textRotation="0" wrapText="1" shrinkToFit="1" readingOrder="0"/>
      <protection hidden="1" locked="0"/>
    </dxf>
    <dxf>
      <numFmt numFmtId="177" formatCode="General"/>
      <alignment horizontal="center" textRotation="0" wrapText="1" shrinkToFit="1" readingOrder="0"/>
      <protection hidden="1" locked="0"/>
    </dxf>
    <dxf>
      <numFmt numFmtId="177" formatCode="General"/>
      <alignment horizontal="center" textRotation="0" wrapText="1" shrinkToFit="1" readingOrder="0"/>
      <protection hidden="1" locked="0"/>
    </dxf>
    <dxf>
      <numFmt numFmtId="177" formatCode="General"/>
      <alignment horizontal="center" textRotation="0" wrapText="1" shrinkToFit="1" readingOrder="0"/>
      <protection hidden="1" locked="0"/>
    </dxf>
    <dxf>
      <numFmt numFmtId="177" formatCode="General"/>
      <alignment horizontal="center" vertical="center" textRotation="0" wrapText="1" shrinkToFit="1" readingOrder="0"/>
      <protection hidden="1" locked="0"/>
    </dxf>
    <dxf>
      <numFmt numFmtId="177" formatCode="General"/>
      <alignment horizontal="center" vertical="center" textRotation="0" wrapText="1" shrinkToFit="1" readingOrder="0"/>
      <protection hidden="1" locked="0"/>
    </dxf>
    <dxf>
      <numFmt numFmtId="177" formatCode="General"/>
      <alignment horizontal="center" vertical="center" textRotation="0" wrapText="1" shrinkToFit="1" readingOrder="0"/>
      <protection hidden="1" locked="0"/>
    </dxf>
    <dxf>
      <font>
        <b/>
        <i val="0"/>
        <u val="none"/>
        <strike val="0"/>
        <sz val="10"/>
        <name val="Calibri"/>
        <color rgb="FFFF0000"/>
      </font>
      <numFmt numFmtId="177" formatCode="General"/>
      <fill>
        <patternFill patternType="none"/>
      </fill>
      <alignment horizontal="center" vertical="center" textRotation="0" wrapText="1" shrinkToFit="1" readingOrder="0"/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protection hidden="1" locked="0"/>
    </dxf>
    <dxf>
      <border>
        <top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thin"/>
        <vertical/>
        <horizontal/>
      </border>
    </dxf>
    <dxf>
      <border>
        <left style="thin"/>
        <right style="thin"/>
        <top/>
        <bottom/>
        <vertical style="thin"/>
        <horizontal style="thin"/>
      </border>
    </dxf>
    <dxf>
      <numFmt numFmtId="178" formatCode="0.00"/>
      <alignment horizontal="center" vertical="center" textRotation="0" wrapText="1" shrinkToFit="1" readingOrder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protection hidden="1" locked="0"/>
    </dxf>
    <dxf>
      <numFmt numFmtId="177" formatCode="General"/>
      <protection hidden="1" locked="0"/>
    </dxf>
    <dxf>
      <protection hidden="1" locked="0"/>
    </dxf>
    <dxf>
      <protection hidden="1" locked="0"/>
    </dxf>
    <dxf>
      <numFmt numFmtId="177" formatCode="General"/>
      <alignment horizontal="center" vertical="center" textRotation="0" wrapText="1" shrinkToFit="1" readingOrder="0"/>
      <protection hidden="1" locked="0"/>
    </dxf>
    <dxf>
      <numFmt numFmtId="177" formatCode="General"/>
      <alignment horizontal="center" vertical="center" textRotation="0" wrapText="1" shrinkToFit="1" readingOrder="0"/>
      <protection hidden="1" locked="0"/>
    </dxf>
    <dxf>
      <numFmt numFmtId="178" formatCode="0.00"/>
      <alignment horizontal="center" vertical="center" textRotation="0" wrapText="1" shrinkToFit="1" readingOrder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font>
        <b/>
        <i val="0"/>
        <u val="none"/>
        <strike val="0"/>
        <sz val="10"/>
        <name val="Calibri"/>
        <color rgb="FFFF0000"/>
      </font>
      <numFmt numFmtId="177" formatCode="General"/>
      <fill>
        <patternFill patternType="none"/>
      </fill>
      <alignment horizontal="center" vertical="center" textRotation="0" wrapText="1" shrinkToFit="1" readingOrder="0"/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thin"/>
      </border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medium"/>
        <right style="thin"/>
        <top style="thin"/>
        <bottom style="thin"/>
      </border>
      <protection hidden="1" locked="0"/>
    </dxf>
    <dxf>
      <numFmt numFmtId="177" formatCode="General"/>
      <protection hidden="1" locked="0"/>
    </dxf>
    <dxf>
      <protection hidden="1" locked="0"/>
    </dxf>
    <dxf>
      <border>
        <left style="medium"/>
        <right/>
        <top/>
        <bottom/>
        <vertical/>
        <horizontal/>
      </border>
      <protection hidden="1" locked="0"/>
    </dxf>
    <dxf>
      <numFmt numFmtId="178" formatCode="0.00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77" formatCode="General"/>
      <alignment horizont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7" formatCode="General"/>
      <alignment horizont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7" formatCode="General"/>
      <alignment horizont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7" formatCode="General"/>
      <alignment horizont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thin"/>
        <vertical/>
        <horizontal/>
      </border>
    </dxf>
    <dxf>
      <border>
        <left style="thin"/>
        <right style="thin"/>
        <top/>
        <bottom/>
        <vertical style="thin"/>
        <horizontal style="thin"/>
      </border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0</xdr:row>
      <xdr:rowOff>180975</xdr:rowOff>
    </xdr:from>
    <xdr:ext cx="2943225" cy="1000125"/>
    <xdr:sp macro="" textlink="">
      <xdr:nvSpPr>
        <xdr:cNvPr id="2" name="Rectangle 1"/>
        <xdr:cNvSpPr/>
      </xdr:nvSpPr>
      <xdr:spPr>
        <a:xfrm>
          <a:off x="3457575" y="180975"/>
          <a:ext cx="2943225" cy="10001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2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Calcul</a:t>
          </a:r>
          <a:r>
            <a:rPr lang="fr-FR" sz="2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des points</a:t>
          </a:r>
          <a:br>
            <a:rPr lang="fr-FR" sz="2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2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TRIATHLONS</a:t>
          </a:r>
        </a:p>
      </xdr:txBody>
    </xdr:sp>
    <xdr:clientData/>
  </xdr:oneCellAnchor>
  <xdr:twoCellAnchor editAs="oneCell">
    <xdr:from>
      <xdr:col>10</xdr:col>
      <xdr:colOff>485775</xdr:colOff>
      <xdr:row>0</xdr:row>
      <xdr:rowOff>66675</xdr:rowOff>
    </xdr:from>
    <xdr:to>
      <xdr:col>12</xdr:col>
      <xdr:colOff>504825</xdr:colOff>
      <xdr:row>0</xdr:row>
      <xdr:rowOff>1247775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66675"/>
          <a:ext cx="1543050" cy="1181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295275</xdr:rowOff>
    </xdr:from>
    <xdr:to>
      <xdr:col>4</xdr:col>
      <xdr:colOff>76200</xdr:colOff>
      <xdr:row>0</xdr:row>
      <xdr:rowOff>1000125</xdr:rowOff>
    </xdr:to>
    <xdr:pic>
      <xdr:nvPicPr>
        <xdr:cNvPr id="4" name="Image 3" descr="Logo_Réduit_05-1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95275"/>
          <a:ext cx="2257425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305675" cy="1781175"/>
    <xdr:sp macro="" textlink="">
      <xdr:nvSpPr>
        <xdr:cNvPr id="2" name="Rectangle 1"/>
        <xdr:cNvSpPr/>
      </xdr:nvSpPr>
      <xdr:spPr>
        <a:xfrm>
          <a:off x="0" y="0"/>
          <a:ext cx="7305675" cy="17811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Calcul</a:t>
          </a: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des points</a:t>
          </a:r>
          <a:b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COURSES - Benjamin(e)s</a:t>
          </a:r>
        </a:p>
      </xdr:txBody>
    </xdr:sp>
    <xdr:clientData/>
  </xdr:oneCellAnchor>
  <xdr:twoCellAnchor editAs="oneCell">
    <xdr:from>
      <xdr:col>7</xdr:col>
      <xdr:colOff>533400</xdr:colOff>
      <xdr:row>0</xdr:row>
      <xdr:rowOff>0</xdr:rowOff>
    </xdr:from>
    <xdr:to>
      <xdr:col>10</xdr:col>
      <xdr:colOff>685800</xdr:colOff>
      <xdr:row>0</xdr:row>
      <xdr:rowOff>2133600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0"/>
          <a:ext cx="2667000" cy="2133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991225" cy="1781175"/>
    <xdr:sp macro="" textlink="">
      <xdr:nvSpPr>
        <xdr:cNvPr id="2" name="Rectangle 1"/>
        <xdr:cNvSpPr/>
      </xdr:nvSpPr>
      <xdr:spPr>
        <a:xfrm>
          <a:off x="0" y="0"/>
          <a:ext cx="5991225" cy="17811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Calcul</a:t>
          </a: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des points</a:t>
          </a:r>
          <a:b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COURSES - Minimes</a:t>
          </a:r>
        </a:p>
      </xdr:txBody>
    </xdr:sp>
    <xdr:clientData/>
  </xdr:oneCellAnchor>
  <xdr:twoCellAnchor editAs="oneCell">
    <xdr:from>
      <xdr:col>9</xdr:col>
      <xdr:colOff>590550</xdr:colOff>
      <xdr:row>0</xdr:row>
      <xdr:rowOff>47625</xdr:rowOff>
    </xdr:from>
    <xdr:to>
      <xdr:col>12</xdr:col>
      <xdr:colOff>685800</xdr:colOff>
      <xdr:row>0</xdr:row>
      <xdr:rowOff>2133600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47625"/>
          <a:ext cx="2609850" cy="2085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991225" cy="1781175"/>
    <xdr:sp macro="" textlink="">
      <xdr:nvSpPr>
        <xdr:cNvPr id="2" name="Rectangle 1"/>
        <xdr:cNvSpPr/>
      </xdr:nvSpPr>
      <xdr:spPr>
        <a:xfrm>
          <a:off x="0" y="0"/>
          <a:ext cx="5991225" cy="17811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Calcul</a:t>
          </a: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des points</a:t>
          </a:r>
          <a:b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COURSES - Minimes</a:t>
          </a:r>
        </a:p>
      </xdr:txBody>
    </xdr:sp>
    <xdr:clientData/>
  </xdr:oneCellAnchor>
  <xdr:twoCellAnchor editAs="oneCell">
    <xdr:from>
      <xdr:col>9</xdr:col>
      <xdr:colOff>590550</xdr:colOff>
      <xdr:row>0</xdr:row>
      <xdr:rowOff>47625</xdr:rowOff>
    </xdr:from>
    <xdr:to>
      <xdr:col>12</xdr:col>
      <xdr:colOff>685800</xdr:colOff>
      <xdr:row>0</xdr:row>
      <xdr:rowOff>2133600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47625"/>
          <a:ext cx="2609850" cy="2085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0</xdr:row>
      <xdr:rowOff>171450</xdr:rowOff>
    </xdr:from>
    <xdr:ext cx="5114925" cy="1781175"/>
    <xdr:sp macro="" textlink="">
      <xdr:nvSpPr>
        <xdr:cNvPr id="2" name="Rectangle 1"/>
        <xdr:cNvSpPr/>
      </xdr:nvSpPr>
      <xdr:spPr>
        <a:xfrm>
          <a:off x="219075" y="171450"/>
          <a:ext cx="5114925" cy="17811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Calcul</a:t>
          </a: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des points</a:t>
          </a:r>
          <a:b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TRIATHLON - Be</a:t>
          </a:r>
        </a:p>
      </xdr:txBody>
    </xdr:sp>
    <xdr:clientData/>
  </xdr:oneCellAnchor>
  <xdr:twoCellAnchor editAs="oneCell">
    <xdr:from>
      <xdr:col>4</xdr:col>
      <xdr:colOff>781050</xdr:colOff>
      <xdr:row>0</xdr:row>
      <xdr:rowOff>28575</xdr:rowOff>
    </xdr:from>
    <xdr:to>
      <xdr:col>8</xdr:col>
      <xdr:colOff>0</xdr:colOff>
      <xdr:row>0</xdr:row>
      <xdr:rowOff>2124075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28575"/>
          <a:ext cx="2619375" cy="2095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133350</xdr:colOff>
      <xdr:row>0</xdr:row>
      <xdr:rowOff>171450</xdr:rowOff>
    </xdr:from>
    <xdr:ext cx="5114925" cy="1781175"/>
    <xdr:sp macro="" textlink="">
      <xdr:nvSpPr>
        <xdr:cNvPr id="4" name="Rectangle 3"/>
        <xdr:cNvSpPr/>
      </xdr:nvSpPr>
      <xdr:spPr>
        <a:xfrm>
          <a:off x="133350" y="171450"/>
          <a:ext cx="5114925" cy="17811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Calcul</a:t>
          </a: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des points</a:t>
          </a:r>
          <a:b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TRIATHLON - Mi</a:t>
          </a:r>
        </a:p>
      </xdr:txBody>
    </xdr:sp>
    <xdr:clientData/>
  </xdr:oneCellAnchor>
  <xdr:twoCellAnchor editAs="oneCell">
    <xdr:from>
      <xdr:col>18</xdr:col>
      <xdr:colOff>123825</xdr:colOff>
      <xdr:row>0</xdr:row>
      <xdr:rowOff>0</xdr:rowOff>
    </xdr:from>
    <xdr:to>
      <xdr:col>21</xdr:col>
      <xdr:colOff>504825</xdr:colOff>
      <xdr:row>0</xdr:row>
      <xdr:rowOff>2095500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0"/>
          <a:ext cx="2667000" cy="2095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305550" cy="2257425"/>
    <xdr:sp macro="" textlink="">
      <xdr:nvSpPr>
        <xdr:cNvPr id="2" name="Rectangle 1"/>
        <xdr:cNvSpPr/>
      </xdr:nvSpPr>
      <xdr:spPr>
        <a:xfrm>
          <a:off x="0" y="0"/>
          <a:ext cx="6305550" cy="22574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4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Calcul</a:t>
          </a:r>
          <a: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des points</a:t>
          </a:r>
          <a:b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pour Les SAUTS </a:t>
          </a:r>
          <a:b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Horizontaux</a:t>
          </a:r>
        </a:p>
      </xdr:txBody>
    </xdr:sp>
    <xdr:clientData/>
  </xdr:oneCellAnchor>
  <xdr:twoCellAnchor editAs="oneCell">
    <xdr:from>
      <xdr:col>7</xdr:col>
      <xdr:colOff>142875</xdr:colOff>
      <xdr:row>0</xdr:row>
      <xdr:rowOff>85725</xdr:rowOff>
    </xdr:from>
    <xdr:to>
      <xdr:col>10</xdr:col>
      <xdr:colOff>295275</xdr:colOff>
      <xdr:row>0</xdr:row>
      <xdr:rowOff>2219325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85725"/>
          <a:ext cx="2667000" cy="2133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305550" cy="2257425"/>
    <xdr:sp macro="" textlink="">
      <xdr:nvSpPr>
        <xdr:cNvPr id="2" name="Rectangle 1"/>
        <xdr:cNvSpPr/>
      </xdr:nvSpPr>
      <xdr:spPr>
        <a:xfrm>
          <a:off x="0" y="0"/>
          <a:ext cx="6305550" cy="22574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4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Calcul</a:t>
          </a:r>
          <a: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des points</a:t>
          </a:r>
          <a:b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pour Les SAUTS </a:t>
          </a:r>
          <a:b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Horizontaux</a:t>
          </a:r>
        </a:p>
      </xdr:txBody>
    </xdr:sp>
    <xdr:clientData/>
  </xdr:oneCellAnchor>
  <xdr:twoCellAnchor editAs="oneCell">
    <xdr:from>
      <xdr:col>7</xdr:col>
      <xdr:colOff>142875</xdr:colOff>
      <xdr:row>0</xdr:row>
      <xdr:rowOff>85725</xdr:rowOff>
    </xdr:from>
    <xdr:to>
      <xdr:col>10</xdr:col>
      <xdr:colOff>295275</xdr:colOff>
      <xdr:row>0</xdr:row>
      <xdr:rowOff>2219325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85725"/>
          <a:ext cx="2667000" cy="2133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305550" cy="2257425"/>
    <xdr:sp macro="" textlink="">
      <xdr:nvSpPr>
        <xdr:cNvPr id="2" name="Rectangle 1"/>
        <xdr:cNvSpPr/>
      </xdr:nvSpPr>
      <xdr:spPr>
        <a:xfrm>
          <a:off x="0" y="0"/>
          <a:ext cx="6305550" cy="22574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4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Calcul</a:t>
          </a:r>
          <a: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des points</a:t>
          </a:r>
          <a:b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pour Les SAUTS </a:t>
          </a:r>
          <a:b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Verticaux</a:t>
          </a:r>
        </a:p>
      </xdr:txBody>
    </xdr:sp>
    <xdr:clientData/>
  </xdr:oneCellAnchor>
  <xdr:twoCellAnchor editAs="oneCell">
    <xdr:from>
      <xdr:col>12</xdr:col>
      <xdr:colOff>209550</xdr:colOff>
      <xdr:row>0</xdr:row>
      <xdr:rowOff>66675</xdr:rowOff>
    </xdr:from>
    <xdr:to>
      <xdr:col>16</xdr:col>
      <xdr:colOff>552450</xdr:colOff>
      <xdr:row>0</xdr:row>
      <xdr:rowOff>2200275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8025" y="66675"/>
          <a:ext cx="2667000" cy="2133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305550" cy="2257425"/>
    <xdr:sp macro="" textlink="">
      <xdr:nvSpPr>
        <xdr:cNvPr id="2" name="Rectangle 1"/>
        <xdr:cNvSpPr/>
      </xdr:nvSpPr>
      <xdr:spPr>
        <a:xfrm>
          <a:off x="0" y="0"/>
          <a:ext cx="6305550" cy="22574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4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Calcul</a:t>
          </a:r>
          <a: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des points</a:t>
          </a:r>
          <a:b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pour Les SAUTS </a:t>
          </a:r>
          <a:b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4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Verticaux</a:t>
          </a:r>
        </a:p>
      </xdr:txBody>
    </xdr:sp>
    <xdr:clientData/>
  </xdr:oneCellAnchor>
  <xdr:twoCellAnchor editAs="oneCell">
    <xdr:from>
      <xdr:col>12</xdr:col>
      <xdr:colOff>209550</xdr:colOff>
      <xdr:row>0</xdr:row>
      <xdr:rowOff>66675</xdr:rowOff>
    </xdr:from>
    <xdr:to>
      <xdr:col>16</xdr:col>
      <xdr:colOff>552450</xdr:colOff>
      <xdr:row>0</xdr:row>
      <xdr:rowOff>2200275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8025" y="66675"/>
          <a:ext cx="2667000" cy="2133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142875</xdr:rowOff>
    </xdr:from>
    <xdr:ext cx="5467350" cy="1781175"/>
    <xdr:sp macro="" textlink="">
      <xdr:nvSpPr>
        <xdr:cNvPr id="2" name="Rectangle 1"/>
        <xdr:cNvSpPr/>
      </xdr:nvSpPr>
      <xdr:spPr>
        <a:xfrm>
          <a:off x="28575" y="142875"/>
          <a:ext cx="5467350" cy="17811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Calcul</a:t>
          </a: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des points</a:t>
          </a:r>
          <a:b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pour Les LANCERS</a:t>
          </a:r>
        </a:p>
      </xdr:txBody>
    </xdr:sp>
    <xdr:clientData/>
  </xdr:oneCellAnchor>
  <xdr:twoCellAnchor editAs="oneCell">
    <xdr:from>
      <xdr:col>7</xdr:col>
      <xdr:colOff>0</xdr:colOff>
      <xdr:row>0</xdr:row>
      <xdr:rowOff>0</xdr:rowOff>
    </xdr:from>
    <xdr:to>
      <xdr:col>10</xdr:col>
      <xdr:colOff>152400</xdr:colOff>
      <xdr:row>0</xdr:row>
      <xdr:rowOff>2133600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0"/>
          <a:ext cx="2667000" cy="2133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142875</xdr:rowOff>
    </xdr:from>
    <xdr:ext cx="5467350" cy="1781175"/>
    <xdr:sp macro="" textlink="">
      <xdr:nvSpPr>
        <xdr:cNvPr id="2" name="Rectangle 1"/>
        <xdr:cNvSpPr/>
      </xdr:nvSpPr>
      <xdr:spPr>
        <a:xfrm>
          <a:off x="28575" y="142875"/>
          <a:ext cx="5467350" cy="17811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Calcul</a:t>
          </a: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des points</a:t>
          </a:r>
          <a:b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pour Les LANCERS</a:t>
          </a:r>
        </a:p>
      </xdr:txBody>
    </xdr:sp>
    <xdr:clientData/>
  </xdr:oneCellAnchor>
  <xdr:twoCellAnchor editAs="oneCell">
    <xdr:from>
      <xdr:col>7</xdr:col>
      <xdr:colOff>0</xdr:colOff>
      <xdr:row>0</xdr:row>
      <xdr:rowOff>0</xdr:rowOff>
    </xdr:from>
    <xdr:to>
      <xdr:col>10</xdr:col>
      <xdr:colOff>152400</xdr:colOff>
      <xdr:row>0</xdr:row>
      <xdr:rowOff>2133600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0"/>
          <a:ext cx="2667000" cy="21336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7:I38" totalsRowShown="0" headerRowDxfId="329" tableBorderDxfId="327" headerRowBorderDxfId="328" totalsRowBorderDxfId="326">
  <autoFilter ref="A7:I38"/>
  <tableColumns count="9">
    <tableColumn id="1" name="Nom " dataDxfId="17"/>
    <tableColumn id="2" name="Prénom" dataDxfId="16"/>
    <tableColumn id="3" name="Licence" dataDxfId="15"/>
    <tableColumn id="4" name="Catégorie Be/Mi " dataDxfId="325"/>
    <tableColumn id="5" name="Résultat SAUT" dataDxfId="324">
      <calculatedColumnFormula>IFERROR(Z8,AA8)</calculatedColumnFormula>
    </tableColumn>
    <tableColumn id="6" name="Résultat LANCER" dataDxfId="323">
      <calculatedColumnFormula>VLOOKUP(C8,Tableau16[[Licence]:[Points]],9,FALSE)</calculatedColumnFormula>
    </tableColumn>
    <tableColumn id="7" name="Résultat COURSE" dataDxfId="322">
      <calculatedColumnFormula>VLOOKUP(C8,Tableau18[[Licence]:[Points]],9,FALSE)</calculatedColumnFormula>
    </tableColumn>
    <tableColumn id="8" name="TOTAL des POINTS" dataDxfId="321">
      <calculatedColumnFormula>E8+F8+G8</calculatedColumnFormula>
    </tableColumn>
    <tableColumn id="9" name="Classement CLUB" dataDxfId="320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id="12" name="Tableau1613" displayName="Tableau1613" ref="A6:AA37" totalsRowShown="0">
  <autoFilter ref="A6:AA37"/>
  <tableColumns count="27">
    <tableColumn id="1" name="Nom " dataDxfId="165"/>
    <tableColumn id="2" name="Prénom" dataDxfId="164"/>
    <tableColumn id="3" name="Licence" dataDxfId="163"/>
    <tableColumn id="4" name="Catégorie Mi " dataDxfId="162"/>
    <tableColumn id="27" name="Poids - Javelot - Disque - Marteau" dataDxfId="161"/>
    <tableColumn id="5" name="Essai1" dataDxfId="160"/>
    <tableColumn id="6" name="Essai2" dataDxfId="159"/>
    <tableColumn id="7" name="Essai3" dataDxfId="158"/>
    <tableColumn id="8" name="Essai4" dataDxfId="157"/>
    <tableColumn id="9" name="Meilleure Perf" dataDxfId="156">
      <calculatedColumnFormula>MAX(F7,G7,H7,I7)</calculatedColumnFormula>
    </tableColumn>
    <tableColumn id="10" name="Points" dataDxfId="155">
      <calculatedColumnFormula>MAX(L7,M7,N7,O7,P7,Q7,R7,S7,T7,U7,V7,W7,X7,Y7,Z7,AA7)</calculatedColumnFormula>
    </tableColumn>
    <tableColumn id="11" name="BeF" dataDxfId="154">
      <calculatedColumnFormula>IF($E7="Poids ",IF($D7="BeF",VLOOKUP($J7,BeF_Concours!$F$3:$J$52,5,TRUE),FALSE))</calculatedColumnFormula>
    </tableColumn>
    <tableColumn id="12" name="BeF2" dataDxfId="153">
      <calculatedColumnFormula>IF($E7="Javelot ",IF($D7="BeF",VLOOKUP($J7,BeF_Concours!$I$3:$J$52,2,TRUE),FALSE))</calculatedColumnFormula>
    </tableColumn>
    <tableColumn id="13" name="BeF3" dataDxfId="152">
      <calculatedColumnFormula>IF($E7="Disque ",IF($D7="BeF",VLOOKUP($J7,BeF_Concours!$G$3:$J$52,4,TRUE),FALSE))</calculatedColumnFormula>
    </tableColumn>
    <tableColumn id="14" name="BeF4" dataDxfId="151">
      <calculatedColumnFormula>IF($E7="Marteau ",IF($D7="BeF",VLOOKUP($J7,BeF_Concours!$H$3:$J$52,3,"VRAI"),FALSE))</calculatedColumnFormula>
    </tableColumn>
    <tableColumn id="15" name="BeM" dataDxfId="150">
      <calculatedColumnFormula>IF($E7="Poids ",IF($D7="BeM",VLOOKUP($J7,BeM_Concours!F$3:J$52,5,TRUE),TRUE))</calculatedColumnFormula>
    </tableColumn>
    <tableColumn id="16" name="BeM5" dataDxfId="149">
      <calculatedColumnFormula>IF($E7="Javelot ",IF($D7="BeM ",VLOOKUP($J7,BeM_Concours!$I$3:$J$52,2,TRUE),FALSE))</calculatedColumnFormula>
    </tableColumn>
    <tableColumn id="17" name="BeM6" dataDxfId="148">
      <calculatedColumnFormula>IF($E7="Disque ",IF($D7="BeM",VLOOKUP($J7,BeM_Concours!$G$3:$J$52,4,TRUE),FALSE))</calculatedColumnFormula>
    </tableColumn>
    <tableColumn id="18" name="BeM7" dataDxfId="147">
      <calculatedColumnFormula>IF($E7="Marteau ",IF($D7="BeM",VLOOKUP($J7,BeM_Concours!$H$3:$J$52,3,"VRAI"),FALSE))</calculatedColumnFormula>
    </tableColumn>
    <tableColumn id="19" name="MiF" dataDxfId="146">
      <calculatedColumnFormula>IF($E7="Poids ",IF($D7="MiF",VLOOKUP($J7,MiF_Concours!$F$3:$J$52,5,TRUE),FALSE))</calculatedColumnFormula>
    </tableColumn>
    <tableColumn id="20" name="MiF8" dataDxfId="145">
      <calculatedColumnFormula>IF($E7="Javelot ",IF($D7="MiF",VLOOKUP($J7,MiF_Concours!$I$3:$J$52,2,TRUE),FALSE))</calculatedColumnFormula>
    </tableColumn>
    <tableColumn id="21" name="MiF9" dataDxfId="144">
      <calculatedColumnFormula>IF($E7="Disque ",IF($D7="MiF",VLOOKUP($J7,MiF_Concours!$G$3:$J$52,4,TRUE),FALSE))</calculatedColumnFormula>
    </tableColumn>
    <tableColumn id="22" name="MiF10" dataDxfId="143">
      <calculatedColumnFormula>IF($E7="Marteau ",IF($D7="MiF",VLOOKUP($J7,MiF_Concours!$H$3:$J$52,3,"VRAI"),FALSE))</calculatedColumnFormula>
    </tableColumn>
    <tableColumn id="23" name="MiM" dataDxfId="142">
      <calculatedColumnFormula>IF($E7="Poids ",IF($D7="MiM",VLOOKUP($J7,MiM_Concours!$F$3:$J$52,5,TRUE),FALSE))</calculatedColumnFormula>
    </tableColumn>
    <tableColumn id="24" name="MiM11" dataDxfId="141">
      <calculatedColumnFormula>IF($E7="Javelot ",IF($D7="MiM",VLOOKUP($J7,MiM_Concours!$I$3:$J$52,2,TRUE),FALSE))</calculatedColumnFormula>
    </tableColumn>
    <tableColumn id="25" name="MiM12" dataDxfId="140">
      <calculatedColumnFormula>IF($E7="Disque ",IF($D7="MiM",VLOOKUP($J7,MiM_Concours!$G$3:$J$52,4,TRUE),FALSE))</calculatedColumnFormula>
    </tableColumn>
    <tableColumn id="26" name="MiM13" dataDxfId="139">
      <calculatedColumnFormula>IF($E7="Marteau ",IF($D7="MiM",VLOOKUP($J7,MiM_Concours!$H$3:$J$52,3,"VRAI"),FALSE))</calculatedColumnFormula>
    </tableColumn>
  </tableColumns>
  <tableStyleInfo name="TableStyleMedium16" showFirstColumn="0" showLastColumn="0" showRowStripes="1" showColumnStripes="0"/>
</table>
</file>

<file path=xl/tables/table11.xml><?xml version="1.0" encoding="utf-8"?>
<table xmlns="http://schemas.openxmlformats.org/spreadsheetml/2006/main" id="7" name="Tableau18" displayName="Tableau18" ref="A7:AE38" totalsRowShown="0">
  <autoFilter ref="A7:AE38"/>
  <tableColumns count="31">
    <tableColumn id="1" name="Nom " dataDxfId="138"/>
    <tableColumn id="2" name="Prénom" dataDxfId="137"/>
    <tableColumn id="3" name="Licence" dataDxfId="136"/>
    <tableColumn id="4" name="Catégorie             BeF-BeM" dataDxfId="135"/>
    <tableColumn id="33" name="Course" dataDxfId="134"/>
    <tableColumn id="5" name="50m" dataDxfId="133"/>
    <tableColumn id="6" name="1000m" dataDxfId="132"/>
    <tableColumn id="7" name="50mH" dataDxfId="131"/>
    <tableColumn id="8" name="200mH" dataDxfId="130"/>
    <tableColumn id="9" name="2000m Marche" dataDxfId="129"/>
    <tableColumn id="10" name="Points" dataDxfId="128">
      <calculatedColumnFormula>MAX(L8,N8,P8,R8,T8,V8,X8,Z8,AB8,AD8)</calculatedColumnFormula>
    </tableColumn>
    <tableColumn id="11" name="BeF_50m" dataDxfId="127">
      <calculatedColumnFormula>IF($E8="50m ",IF($D8="BeF",IFERROR(M8,VLOOKUP(ROUNDUP($F8,1),BeF_Courses!$B$3:$I$52,8,TRUE)-1),M8))</calculatedColumnFormula>
    </tableColumn>
    <tableColumn id="28" name="BeF_50m Col2" dataDxfId="126">
      <calculatedColumnFormula>IF($E8="50m ",IF($D8="BeF",VLOOKUP($F8,BeF_Courses!$B$3:$I$52,8,FALSE),""))</calculatedColumnFormula>
    </tableColumn>
    <tableColumn id="12" name="BeF _ 1000m" dataDxfId="125">
      <calculatedColumnFormula>IF($E8="1000m ",IF($D8="BeF",IFERROR(O8,VLOOKUP(ROUNDUP($G8,1),BeF_Courses!$C$3:$I$52,7,TRUE)-1),O8))</calculatedColumnFormula>
    </tableColumn>
    <tableColumn id="29" name="BeF _ 1000m Col2" dataDxfId="124">
      <calculatedColumnFormula>IF($E8="1000m ",IF($D8="BeF",VLOOKUP($G8,BeF_Courses!$C$3:$I$52,7,FALSE ),""))</calculatedColumnFormula>
    </tableColumn>
    <tableColumn id="13" name="BeF _ 50mH" dataDxfId="123">
      <calculatedColumnFormula>IF($E8="50mH ",IF($D8="BeF",IFERROR(Q8,VLOOKUP(ROUNDUP($H8,1),BeF_Courses!$D$3:$I$52,6,TRUE)-1),Q8))</calculatedColumnFormula>
    </tableColumn>
    <tableColumn id="30" name="BeF _ 50mH Col2" dataDxfId="122">
      <calculatedColumnFormula>IF($E8="50mH ",IF($D8="BeF",VLOOKUP($H8,BeF_Courses!$D$3:$I$52,6,FALSE),""))</calculatedColumnFormula>
    </tableColumn>
    <tableColumn id="14" name="BeF_200mH" dataDxfId="121">
      <calculatedColumnFormula>IF($E8="200mH ",IF($D8="BeF",IFERROR(S8,VLOOKUP($I8,BeF_Courses!$E$3:$I$52,5,TRUE)-1),S8))</calculatedColumnFormula>
    </tableColumn>
    <tableColumn id="31" name="BeF_200mH Col2" dataDxfId="120">
      <calculatedColumnFormula>IF($E8="200mH ",IF($D8="BeF",VLOOKUP($I8,BeF_Courses!$E$3:$I$52,5,FALSE),""),"FAUX")</calculatedColumnFormula>
    </tableColumn>
    <tableColumn id="15" name="BeF_2000m Marche" dataDxfId="119">
      <calculatedColumnFormula>IF($E8="2000m Marche ",IF($D8="BeF",IFERROR(U8,VLOOKUP($J8,BeF_Courses!$F$3:$I$52,4,TRUE)-1),U8))</calculatedColumnFormula>
    </tableColumn>
    <tableColumn id="32" name="BeF_2000m Marche C2" dataDxfId="118">
      <calculatedColumnFormula>IF($E8="2000m Marche ",IF($D8="BeF",VLOOKUP($J8,BeF_Courses!$F$3:$I$52,4,FALSE),""),FALSE)</calculatedColumnFormula>
    </tableColumn>
    <tableColumn id="16" name=" BeM _  50m" dataDxfId="117">
      <calculatedColumnFormula>IF($E8="50m ",IF($D8="BeM",IFERROR(W8,VLOOKUP($F8,BeM_Courses!$B$3:$I$52,8,TRUE)-1),W8))</calculatedColumnFormula>
    </tableColumn>
    <tableColumn id="34" name=" BeM _  50m Col2" dataDxfId="116">
      <calculatedColumnFormula>IF($E8="50m ",IF($D8="BeM",VLOOKUP($F8,BeM_Courses!$B$3:$I$52,8,FALSE),""),FALSE)</calculatedColumnFormula>
    </tableColumn>
    <tableColumn id="17" name="BeM _ 1000m" dataDxfId="115">
      <calculatedColumnFormula>IF($E8="1000m ",IF($D8="BeM",IFERROR(Y8,VLOOKUP($G8,BeM_Courses!$C$3:$I$52,7,TRUE)-1),Y8))</calculatedColumnFormula>
    </tableColumn>
    <tableColumn id="35" name="BeM _ 1000m Col2" dataDxfId="114">
      <calculatedColumnFormula>IF($E8="1000m ",IF($D8="BeM",VLOOKUP($G8,BeM_Courses!$C$3:$I$52,7,FALSE),""),"FAUX")</calculatedColumnFormula>
    </tableColumn>
    <tableColumn id="18" name="BeM _ 50mH" dataDxfId="113">
      <calculatedColumnFormula>IF($E8="50mH ",IF($D8="BeM",IFERROR(AA8,VLOOKUP($H8,BeM_Courses!$D$3:$I$52,6,"VRAI")-1),AA8))</calculatedColumnFormula>
    </tableColumn>
    <tableColumn id="36" name="BeM _ 50mH Col2" dataDxfId="112">
      <calculatedColumnFormula>IF($E8="50mH ",IF($D8="BeM",VLOOKUP(H8,BeM_Courses!$D$3:$I$52,6,FALSE),""),"FAUX")</calculatedColumnFormula>
    </tableColumn>
    <tableColumn id="19" name="BeM _ 200mH" dataDxfId="111">
      <calculatedColumnFormula>IF($E8="200mH ",IF($D8="BeM",IFERROR(AC8,VLOOKUP($I8,BeM_Courses!$E$3:$I$52,5,TRUE)-1),AC8),"FAUX")</calculatedColumnFormula>
    </tableColumn>
    <tableColumn id="37" name="BeM _ 200mH Col2" dataDxfId="110">
      <calculatedColumnFormula>IF($E8="200mH ",IF($D8="BeM",VLOOKUP($I8,BeM_Courses!$E$3:$I$52,5,FALSE),""),"FAUX")</calculatedColumnFormula>
    </tableColumn>
    <tableColumn id="20" name="BeM_2000m Marche" dataDxfId="109">
      <calculatedColumnFormula>IF($E8="2000m Marche ",IF($D8="BeM",IFERROR(AE8,VLOOKUP($J8,BeM_Courses!$F$3:$I$52,4,TRUE)-1),AE8),"FAUX")</calculatedColumnFormula>
    </tableColumn>
    <tableColumn id="38" name="BeM_2000m Marche C2" dataDxfId="108">
      <calculatedColumnFormula>IF($E8="2000m Marche ",IF($D8="BeM",VLOOKUP($J8,BeM_Courses!$F$3:$I$52,4,FALSE),""),"FAUX")</calculatedColumnFormula>
    </tableColumn>
  </tableColumns>
  <tableStyleInfo name="TableStyleMedium16" showFirstColumn="0" showLastColumn="0" showRowStripes="1" showColumnStripes="0"/>
</table>
</file>

<file path=xl/tables/table12.xml><?xml version="1.0" encoding="utf-8"?>
<table xmlns="http://schemas.openxmlformats.org/spreadsheetml/2006/main" id="8" name="Tableau189" displayName="Tableau189" ref="A7:AP38" totalsRowShown="0">
  <autoFilter ref="A7:AP38"/>
  <tableColumns count="42">
    <tableColumn id="1" name="Nom " dataDxfId="23"/>
    <tableColumn id="2" name="Prénom" dataDxfId="22"/>
    <tableColumn id="3" name="Licence" dataDxfId="21"/>
    <tableColumn id="4" name="Catégorie              MiF-MiM " dataDxfId="104"/>
    <tableColumn id="33" name="Course" dataDxfId="103"/>
    <tableColumn id="5" name="80m" dataDxfId="102"/>
    <tableColumn id="44" name="120m" dataDxfId="101"/>
    <tableColumn id="6" name="1000m" dataDxfId="100"/>
    <tableColumn id="45" name="2000m" dataDxfId="99"/>
    <tableColumn id="7" name="80mH" dataDxfId="98"/>
    <tableColumn id="46" name="100mH" dataDxfId="97"/>
    <tableColumn id="8" name="200mH" dataDxfId="96"/>
    <tableColumn id="9" name="3000m Marche" dataDxfId="95"/>
    <tableColumn id="10" name="Points" dataDxfId="94">
      <calculatedColumnFormula>MAX(O8,Q8,S8,U8,W8,Y8,AA8,AC8,AE8,AG8,AI8,AK8,AM8,AO8)</calculatedColumnFormula>
    </tableColumn>
    <tableColumn id="11" name="MiF_80m" dataDxfId="93">
      <calculatedColumnFormula>IF($D8="MiF ",IF($E8="80m ",IFERROR(P8,VLOOKUP(F8,MiF_Courses!$C$3:$M$52,11,TRUE)-1),P8))</calculatedColumnFormula>
    </tableColumn>
    <tableColumn id="28" name="MiF_80m Col2" dataDxfId="92">
      <calculatedColumnFormula>IF($D8="MiF ",IF($E8="80m ",VLOOKUP($F8,MiF_Courses!$C$3:$M$52,11,FALSE),"faux"))</calculatedColumnFormula>
    </tableColumn>
    <tableColumn id="47" name="MiF_120m " dataDxfId="91">
      <calculatedColumnFormula>IF($D8="MiF ",IF($E8="120m ",IFERROR(R8,VLOOKUP($G8,MiF_Courses!D$3:M$52,10,TRUE)-1),""),R8)</calculatedColumnFormula>
    </tableColumn>
    <tableColumn id="48" name="MiF_120m Col2" dataDxfId="90">
      <calculatedColumnFormula>IF($D8="MiF ",IF($E8="120m ",VLOOKUP($G8,MiF_Courses!$D$3:$M$52,10,FALSE),""),"FAUX")</calculatedColumnFormula>
    </tableColumn>
    <tableColumn id="12" name="MiF_ 1000m" dataDxfId="89">
      <calculatedColumnFormula>IF($E8="1000m ",IF($D8="MiF ",IFERROR(T8,VLOOKUP(ROUNDUP($H8,1),MiF_Courses!E$3:M$52,9,TRUE)-1),T8))</calculatedColumnFormula>
    </tableColumn>
    <tableColumn id="29" name="MiF _ 1000m Col2" dataDxfId="88">
      <calculatedColumnFormula>IF($E8="1000m ",IF($D8="MiF ",VLOOKUP($H8,MiF_Courses!E$3:M$52,9,FALSE ),""))</calculatedColumnFormula>
    </tableColumn>
    <tableColumn id="49" name="MiF _ 2000m " dataDxfId="87">
      <calculatedColumnFormula>IF($D8="MiF ",IF($E8="2000m ",IFERROR(V8,VLOOKUP($I8,MiF_Courses!F$3:M$52,8,TRUE)-1),""),V8)</calculatedColumnFormula>
    </tableColumn>
    <tableColumn id="50" name="MiF _ 2000m Col2" dataDxfId="86">
      <calculatedColumnFormula>IF($D8="MiF ",IF($E8="2000m ",VLOOKUP($I8,MiF_Courses!F$3:M$52,8,FALSE),""),"FAUX")</calculatedColumnFormula>
    </tableColumn>
    <tableColumn id="13" name="MiF _ 80mH" dataDxfId="85">
      <calculatedColumnFormula>IF($E8="80mH ",IF($D8="MiF ",IFERROR(X8,VLOOKUP(ROUNDUP($J8,1),MiF_Courses!H$3:M$52,6,TRUE)-1),X8))</calculatedColumnFormula>
    </tableColumn>
    <tableColumn id="30" name="MiF _ 80mH Col2" dataDxfId="84">
      <calculatedColumnFormula>IF($E8="80mH ",IF($D8="MiF ",VLOOKUP($J8,MiF_Courses!H$3:M$52,6,FALSE),""))</calculatedColumnFormula>
    </tableColumn>
    <tableColumn id="14" name="MiF_200mH" dataDxfId="83">
      <calculatedColumnFormula>IF($E8="200mH ",IF($D8="MiF ",IFERROR(Z8,VLOOKUP($L8,MiF_Courses!I$3:M$52,5,TRUE)-1),Z8))</calculatedColumnFormula>
    </tableColumn>
    <tableColumn id="31" name="MiF_200mH Col2" dataDxfId="82">
      <calculatedColumnFormula>IF($E8="200mH ",IF($D8="MiF ",VLOOKUP($L8,MiF_Courses!I$3:M$52,5,FALSE),""),"FAUX")</calculatedColumnFormula>
    </tableColumn>
    <tableColumn id="15" name="MiF_3000m Marche" dataDxfId="81">
      <calculatedColumnFormula>IF($E8="3000m Marche ",IF($D8="MiF ",IFERROR(AB8,VLOOKUP($M8,MiF_Courses!J$3:M$52,4,TRUE)-1),AB8))</calculatedColumnFormula>
    </tableColumn>
    <tableColumn id="32" name="MiF_3000m Marche C2" dataDxfId="80">
      <calculatedColumnFormula>IF($E8="3000m Marche ",IF($D8="MiF ",VLOOKUP($M8,MiF_Courses!J$3:M$52,4,FALSE),""),FALSE)</calculatedColumnFormula>
    </tableColumn>
    <tableColumn id="16" name=" MiM _  80m" dataDxfId="79">
      <calculatedColumnFormula>IF($E8="80m ",IF($D8="MiM ",IFERROR(AD8,VLOOKUP($F8,MiM_Courses!C$3:M$52,11,TRUE)-1),AD8))</calculatedColumnFormula>
    </tableColumn>
    <tableColumn id="34" name="MiM _  80m Col2" dataDxfId="78">
      <calculatedColumnFormula>IF($E8="80m ",IF($D8="MiM ",VLOOKUP($F8,MiM_Courses!C$3:M$52,11,FALSE),""),FALSE)</calculatedColumnFormula>
    </tableColumn>
    <tableColumn id="51" name="MiM _  120m " dataDxfId="77">
      <calculatedColumnFormula>IF($E8="120m ",IF($D8="MiM ",IFERROR(AF8,VLOOKUP($G8,MiM_Courses!D$3:M$52,10,TRUE)-1),AF8))</calculatedColumnFormula>
    </tableColumn>
    <tableColumn id="52" name="MiM _ 120m Col2" dataDxfId="76">
      <calculatedColumnFormula>IF($E8="120m ",IF($D8="MiM ",VLOOKUP($G8,MiM_Courses!D$3:M$52,10,FALSE),""),FALSE)</calculatedColumnFormula>
    </tableColumn>
    <tableColumn id="17" name="MiM _ 1000m" dataDxfId="75">
      <calculatedColumnFormula>IF($E8="1000m ",IF($D8="MiM ",IFERROR(AH8,VLOOKUP($H8,MiM_Courses!E$3:M$52,9,TRUE)-1),AH8))</calculatedColumnFormula>
    </tableColumn>
    <tableColumn id="35" name="MiM _ 1000m Col2" dataDxfId="74">
      <calculatedColumnFormula>IF($E8="1000m ",IF($D8="MiM ",VLOOKUP($H8,MiM_Courses!E$3:M$52,9,FALSE),""),"FAUX")</calculatedColumnFormula>
    </tableColumn>
    <tableColumn id="54" name="MiM _ 2000m" dataDxfId="73">
      <calculatedColumnFormula>IF($E8="2000m ",IF($D8="MiM ",IFERROR(AJ8,VLOOKUP($I8,MiM_Courses!F$3:M$52,8,TRUE)-1),AJ8))</calculatedColumnFormula>
    </tableColumn>
    <tableColumn id="53" name="MiM _ 2000m Col2" dataDxfId="72">
      <calculatedColumnFormula>IF($E8="2000m ",IF($D8="MiM ",VLOOKUP($I8,MiM_Courses!F$3:M$52,8,FALSE),""),"FAUX")</calculatedColumnFormula>
    </tableColumn>
    <tableColumn id="18" name="MiM _ 100mH" dataDxfId="71">
      <calculatedColumnFormula>IF($E8="100mH ",IF($D8="MiM ",IFERROR(AL8,VLOOKUP($K8,MiM_Courses!H$3:M$52,6,"VRAI")-1),AL8))</calculatedColumnFormula>
    </tableColumn>
    <tableColumn id="36" name="MiM _ 100mH Col2" dataDxfId="70">
      <calculatedColumnFormula>IF($E8="100mH ",IF($D8="MiM ",VLOOKUP(K8,MiM_Courses!H$3:M$51,6,FALSE),""),"FAUX")</calculatedColumnFormula>
    </tableColumn>
    <tableColumn id="19" name="MiM _ 200mH" dataDxfId="69">
      <calculatedColumnFormula>IF($E8="200mH ",IF($D8="MiM ",IFERROR(AN8,VLOOKUP($L8,MiM_Courses!I$3:M$52,5,TRUE)-1),AN8),"FAUX")</calculatedColumnFormula>
    </tableColumn>
    <tableColumn id="37" name="MiM _ 200mH Col2" dataDxfId="68">
      <calculatedColumnFormula>IF($E8="200mH ",IF($D8="MiM ",VLOOKUP($L8,MiM_Courses!I$3:M$52,5,FALSE),""),"FAUX")</calculatedColumnFormula>
    </tableColumn>
    <tableColumn id="20" name="MiM_3000m Marche" dataDxfId="67">
      <calculatedColumnFormula>IF($E8="3000m Marche ",IF($D8="MiM ",IFERROR(AP8,VLOOKUP($M8,MiM_Courses!J$3:M$52,4,TRUE)-1),AP8),"FAUX")</calculatedColumnFormula>
    </tableColumn>
    <tableColumn id="38" name="MiM_3000m Marche C2" dataDxfId="66">
      <calculatedColumnFormula>IF($E8="3000m Marche ",IF($D8="MiM ",VLOOKUP($M8,MiM_Courses!J$3:M$52,4,FALSE),""),"FAUX")</calculatedColumnFormula>
    </tableColumn>
  </tableColumns>
  <tableStyleInfo name="TableStyleMedium16" showFirstColumn="0" showLastColumn="0" showRowStripes="1" showColumnStripes="0"/>
</table>
</file>

<file path=xl/tables/table13.xml><?xml version="1.0" encoding="utf-8"?>
<table xmlns="http://schemas.openxmlformats.org/spreadsheetml/2006/main" id="13" name="Tableau18914" displayName="Tableau18914" ref="A7:AP38" totalsRowShown="0">
  <autoFilter ref="A7:AP38"/>
  <tableColumns count="42">
    <tableColumn id="1" name="Nom " dataDxfId="20"/>
    <tableColumn id="2" name="Prénom" dataDxfId="19"/>
    <tableColumn id="3" name="Licence" dataDxfId="18"/>
    <tableColumn id="4" name="Catégorie              MiF-MiM " dataDxfId="62"/>
    <tableColumn id="33" name="Course" dataDxfId="61"/>
    <tableColumn id="5" name="80m" dataDxfId="60"/>
    <tableColumn id="44" name="120m" dataDxfId="59"/>
    <tableColumn id="6" name="1000m" dataDxfId="58"/>
    <tableColumn id="45" name="2000m" dataDxfId="57"/>
    <tableColumn id="7" name="80mH" dataDxfId="56"/>
    <tableColumn id="46" name="100mH" dataDxfId="55"/>
    <tableColumn id="8" name="200mH" dataDxfId="54"/>
    <tableColumn id="9" name="3000m Marche" dataDxfId="53"/>
    <tableColumn id="10" name="Points" dataDxfId="52">
      <calculatedColumnFormula>MAX(O8,Q8,S8,U8,W8,Y8,AA8,AC8,AE8,AG8,AI8,AK8,AM8,AO8)</calculatedColumnFormula>
    </tableColumn>
    <tableColumn id="11" name="MiF_80m" dataDxfId="51">
      <calculatedColumnFormula>IF($D8="MiF ",IF($E8="80m ",IFERROR(P8,VLOOKUP(F8,MiF_Courses!$C$3:$M$52,11,TRUE)-1),P8))</calculatedColumnFormula>
    </tableColumn>
    <tableColumn id="28" name="MiF_80m Col2" dataDxfId="50">
      <calculatedColumnFormula>IF($D8="MiF ",IF($E8="80m ",VLOOKUP($F8,MiF_Courses!$C$3:$M$52,11,FALSE),"faux"))</calculatedColumnFormula>
    </tableColumn>
    <tableColumn id="47" name="MiF_120m " dataDxfId="49">
      <calculatedColumnFormula>IF($D8="MiF ",IF($E8="120m ",IFERROR(R8,VLOOKUP($G8,MiF_Courses!D$3:M$52,10,TRUE)-1),""),R8)</calculatedColumnFormula>
    </tableColumn>
    <tableColumn id="48" name="MiF_120m Col2" dataDxfId="48">
      <calculatedColumnFormula>IF($D8="MiF ",IF($E8="120m ",VLOOKUP($G8,MiF_Courses!$D$3:$M$52,10,FALSE),""),"FAUX")</calculatedColumnFormula>
    </tableColumn>
    <tableColumn id="12" name="MiF_ 1000m" dataDxfId="47">
      <calculatedColumnFormula>IF($E8="1000m ",IF($D8="MiF ",IFERROR(T8,VLOOKUP(ROUNDUP($H8,1),MiF_Courses!E$3:M$52,9,TRUE)-1),T8))</calculatedColumnFormula>
    </tableColumn>
    <tableColumn id="29" name="MiF _ 1000m Col2" dataDxfId="46">
      <calculatedColumnFormula>IF($E8="1000m ",IF($D8="MiF ",VLOOKUP($H8,MiF_Courses!E$3:M$52,9,FALSE ),""))</calculatedColumnFormula>
    </tableColumn>
    <tableColumn id="49" name="MiF _ 2000m " dataDxfId="45">
      <calculatedColumnFormula>IF($D8="MiF ",IF($E8="2000m ",IFERROR(V8,VLOOKUP($I8,MiF_Courses!F$3:M$52,8,TRUE)-1),""),V8)</calculatedColumnFormula>
    </tableColumn>
    <tableColumn id="50" name="MiF _ 2000m Col2" dataDxfId="44">
      <calculatedColumnFormula>IF($D8="MiF ",IF($E8="2000m ",VLOOKUP($I8,MiF_Courses!F$3:M$52,8,FALSE),""),"FAUX")</calculatedColumnFormula>
    </tableColumn>
    <tableColumn id="13" name="MiF _ 80mH" dataDxfId="43">
      <calculatedColumnFormula>IF($E8="80mH ",IF($D8="MiF ",IFERROR(X8,VLOOKUP(ROUNDUP($J8,1),MiF_Courses!H$3:M$52,6,TRUE)-1),X8))</calculatedColumnFormula>
    </tableColumn>
    <tableColumn id="30" name="MiF _ 80mH Col2" dataDxfId="42">
      <calculatedColumnFormula>IF($E8="80mH ",IF($D8="MiF ",VLOOKUP($J8,MiF_Courses!H$3:M$52,6,FALSE),""))</calculatedColumnFormula>
    </tableColumn>
    <tableColumn id="14" name="MiF_200mH" dataDxfId="41">
      <calculatedColumnFormula>IF($E8="200mH ",IF($D8="MiF ",IFERROR(Z8,VLOOKUP($L8,MiF_Courses!I$3:M$52,5,TRUE)-1),Z8))</calculatedColumnFormula>
    </tableColumn>
    <tableColumn id="31" name="MiF_200mH Col2" dataDxfId="40">
      <calculatedColumnFormula>IF($E8="200mH ",IF($D8="MiF ",VLOOKUP($L8,MiF_Courses!I$3:M$52,5,FALSE),""),"FAUX")</calculatedColumnFormula>
    </tableColumn>
    <tableColumn id="15" name="MiF_3000m Marche" dataDxfId="39">
      <calculatedColumnFormula>IF($E8="3000m Marche ",IF($D8="MiF ",IFERROR(AB8,VLOOKUP($M8,MiF_Courses!J$3:M$52,4,TRUE)-1),AB8))</calculatedColumnFormula>
    </tableColumn>
    <tableColumn id="32" name="MiF_3000m Marche C2" dataDxfId="38">
      <calculatedColumnFormula>IF($E8="3000m Marche ",IF($D8="MiF ",VLOOKUP($M8,MiF_Courses!J$3:M$52,4,FALSE),""),FALSE)</calculatedColumnFormula>
    </tableColumn>
    <tableColumn id="16" name=" MiM _  80m" dataDxfId="37">
      <calculatedColumnFormula>IF($E8="80m ",IF($D8="MiM ",IFERROR(AD8,VLOOKUP($F8,MiM_Courses!C$3:M$52,11,TRUE)-1),AD8))</calculatedColumnFormula>
    </tableColumn>
    <tableColumn id="34" name="MiM _  80m Col2" dataDxfId="36">
      <calculatedColumnFormula>IF($E8="80m ",IF($D8="MiM ",VLOOKUP($F8,MiM_Courses!C$3:M$52,11,FALSE),""),FALSE)</calculatedColumnFormula>
    </tableColumn>
    <tableColumn id="51" name="MiM _  120m " dataDxfId="35">
      <calculatedColumnFormula>IF($E8="120m ",IF($D8="MiM ",IFERROR(AF8,VLOOKUP($G8,MiM_Courses!D$3:M$52,10,TRUE)-1),AF8))</calculatedColumnFormula>
    </tableColumn>
    <tableColumn id="52" name="MiM _ 120m Col2" dataDxfId="34">
      <calculatedColumnFormula>IF($E8="120m ",IF($D8="MiM ",VLOOKUP($G8,MiM_Courses!D$3:M$52,10,FALSE),""),FALSE)</calculatedColumnFormula>
    </tableColumn>
    <tableColumn id="17" name="MiM _ 1000m" dataDxfId="33">
      <calculatedColumnFormula>IF($E8="1000m ",IF($D8="MiM ",IFERROR(AH8,VLOOKUP($H8,MiM_Courses!E$3:M$52,9,TRUE)-1),AH8))</calculatedColumnFormula>
    </tableColumn>
    <tableColumn id="35" name="MiM _ 1000m Col2" dataDxfId="32">
      <calculatedColumnFormula>IF($E8="1000m ",IF($D8="MiM ",VLOOKUP($H8,MiM_Courses!E$3:M$52,9,FALSE),""),"FAUX")</calculatedColumnFormula>
    </tableColumn>
    <tableColumn id="54" name="MiM _ 2000m" dataDxfId="31">
      <calculatedColumnFormula>IF($E8="2000m ",IF($D8="MiM ",IFERROR(AJ8,VLOOKUP($I8,MiM_Courses!F$3:M$52,8,TRUE)-1),AJ8))</calculatedColumnFormula>
    </tableColumn>
    <tableColumn id="53" name="MiM _ 2000m Col2" dataDxfId="30">
      <calculatedColumnFormula>IF($E8="2000m ",IF($D8="MiM ",VLOOKUP($I8,MiM_Courses!F$3:M$52,8,FALSE),""),"FAUX")</calculatedColumnFormula>
    </tableColumn>
    <tableColumn id="18" name="MiM _ 100mH" dataDxfId="29">
      <calculatedColumnFormula>IF($E8="100mH ",IF($D8="MiM ",IFERROR(AL8,VLOOKUP($K8,MiM_Courses!H$3:M$52,6,"VRAI")-1),AL8))</calculatedColumnFormula>
    </tableColumn>
    <tableColumn id="36" name="MiM _ 100mH Col2" dataDxfId="28">
      <calculatedColumnFormula>IF($E8="100mH ",IF($D8="MiM ",VLOOKUP(K8,MiM_Courses!H$3:M$51,6,FALSE),""),"FAUX")</calculatedColumnFormula>
    </tableColumn>
    <tableColumn id="19" name="MiM _ 200mH" dataDxfId="27">
      <calculatedColumnFormula>IF($E8="200mH ",IF($D8="MiM ",IFERROR(AN8,VLOOKUP($L8,MiM_Courses!I$3:M$52,5,TRUE)-1),AN8),"FAUX")</calculatedColumnFormula>
    </tableColumn>
    <tableColumn id="37" name="MiM _ 200mH Col2" dataDxfId="26">
      <calculatedColumnFormula>IF($E8="200mH ",IF($D8="MiM ",VLOOKUP($L8,MiM_Courses!I$3:M$52,5,FALSE),""),"FAUX")</calculatedColumnFormula>
    </tableColumn>
    <tableColumn id="20" name="MiM_3000m Marche" dataDxfId="25">
      <calculatedColumnFormula>IF($E8="3000m Marche ",IF($D8="MiM ",IFERROR(AP8,VLOOKUP($M8,MiM_Courses!J$3:M$52,4,TRUE)-1),AP8),"FAUX")</calculatedColumnFormula>
    </tableColumn>
    <tableColumn id="38" name="MiM_3000m Marche C2" dataDxfId="24">
      <calculatedColumnFormula>IF($E8="3000m Marche ",IF($D8="MiM ",VLOOKUP($M8,MiM_Courses!J$3:M$52,4,FALSE),""),"FAUX")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K7:AA38" totalsRowShown="0">
  <autoFilter ref="K7:AA38"/>
  <tableColumns count="17">
    <tableColumn id="1" name="Nom " dataDxfId="319"/>
    <tableColumn id="2" name="Prénom" dataDxfId="318"/>
    <tableColumn id="3" name="Licence" dataDxfId="317"/>
    <tableColumn id="4" name="Catégorie Be/Mi " dataDxfId="316"/>
    <tableColumn id="10" name="Choix de TRIATHLON" dataDxfId="315"/>
    <tableColumn id="11" name="EPREUVES à Réaliser" dataDxfId="314">
      <calculatedColumnFormula>IF(O8="Généraliste ",$AF$8,IF(O8="Technique ",$AF$10,IF(O8="Spécial ",$AF$11,"Veuillez sélectionner le Type de Triathlon")))</calculatedColumnFormula>
    </tableColumn>
    <tableColumn id="5" name="SAUT" dataDxfId="313"/>
    <tableColumn id="6" name="LANCER" dataDxfId="312"/>
    <tableColumn id="7" name="COURSE" dataDxfId="311"/>
    <tableColumn id="15" name="CONCOURS    1" dataDxfId="310"/>
    <tableColumn id="16" name="CONCOURS 2" dataDxfId="309"/>
    <tableColumn id="17" name="EPREUVE LIBRE" dataDxfId="308"/>
    <tableColumn id="18" name="1000m ou Marche" dataDxfId="307"/>
    <tableColumn id="8" name="TOTAL des POINTS" dataDxfId="306"/>
    <tableColumn id="9" name="Classement CLUB" dataDxfId="305"/>
    <tableColumn id="12" name="Colonne1" dataDxfId="304">
      <calculatedColumnFormula>(VLOOKUP(C8,Tableau17[[Licence]:[Points]],9,FALSE))</calculatedColumnFormula>
    </tableColumn>
    <tableColumn id="13" name="Colonne2" dataDxfId="303">
      <calculatedColumnFormula>(VLOOKUP(C8,Tableau110[[Licence]:[Points]],16,FALSE))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leau14" displayName="Tableau14" ref="A7:I38" totalsRowShown="0">
  <autoFilter ref="A7:I38"/>
  <tableColumns count="9">
    <tableColumn id="1" name="Nom " dataDxfId="302"/>
    <tableColumn id="2" name="Prénom" dataDxfId="301"/>
    <tableColumn id="3" name="Licence" dataDxfId="300"/>
    <tableColumn id="4" name="Catégorie Be/Mi " dataDxfId="299"/>
    <tableColumn id="5" name="Résultat SAUT" dataDxfId="298"/>
    <tableColumn id="6" name="Résultat LANCER" dataDxfId="297"/>
    <tableColumn id="7" name="Résultat COURSE" dataDxfId="296"/>
    <tableColumn id="8" name="TOTAL des POINTS" dataDxfId="295"/>
    <tableColumn id="9" name="CLASSEMENT CLUB" dataDxfId="294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Tableau135" displayName="Tableau135" ref="K7:AF38" totalsRowShown="0" headerRowDxfId="293" tableBorderDxfId="291" headerRowBorderDxfId="292" totalsRowBorderDxfId="290">
  <autoFilter ref="K7:AF38"/>
  <tableColumns count="22">
    <tableColumn id="1" name="Nom " dataDxfId="2"/>
    <tableColumn id="2" name="Prénom" dataDxfId="1"/>
    <tableColumn id="3" name="Licence" dataDxfId="0"/>
    <tableColumn id="4" name="Catégorie Be/Mi " dataDxfId="289"/>
    <tableColumn id="10" name="Choix de TRIATHLON" dataDxfId="288"/>
    <tableColumn id="11" name="EPREUVES à Réaliser" dataDxfId="287">
      <calculatedColumnFormula>IF(O8="Généraliste ",$AM$8,IF(O8="Technique ",$AM$10,IF(O8="Spécial ",$AM$11,"Veuillez sélectionner le Type de Triathlon")))</calculatedColumnFormula>
    </tableColumn>
    <tableColumn id="5" name="SAUT" dataDxfId="286">
      <calculatedColumnFormula>IF($O8="Généraliste ",IFERROR($Y8,IFERROR($Z8,0)),IF($O8="Spécial ",IFERROR($Y8,IFERROR($Z8,0)),IF($O8="Technique ",IFERROR($Y8,IFERROR($Z8,0)))))</calculatedColumnFormula>
    </tableColumn>
    <tableColumn id="13" name="SAUT 2 Technique" dataDxfId="285">
      <calculatedColumnFormula>IF($O8="Technique ",IFERROR($AA8,IFERROR($AB8,0)),0)</calculatedColumnFormula>
    </tableColumn>
    <tableColumn id="6" name="LANCER" dataDxfId="284">
      <calculatedColumnFormula>IF($O8="Généraliste ",IFERROR($AC8,IFERROR($AD8,0)),IF($O8="Spécial ",IFERROR($AC8,IFERROR($AD8,0)),IF($O8="Technique ",IFERROR($AC8,IFERROR($AD8,0)))))</calculatedColumnFormula>
    </tableColumn>
    <tableColumn id="7" name="LANCER 2 Technique" dataDxfId="283">
      <calculatedColumnFormula>IF($O8="Technique ",IFERROR($AC8,IFERROR($AD8,0)),0)</calculatedColumnFormula>
    </tableColumn>
    <tableColumn id="15" name="COURSE (A/B ouC)" dataDxfId="282">
      <calculatedColumnFormula>IF($O8="Généraliste ",IFERROR($AE8,IFERROR($AF8,0)),IF($O8="Spécial ",IFERROR($AE8,IFERROR($AF8,0)),IF($O8="Technique ",IFERROR($AE8,IFERROR($AF8,0)))))</calculatedColumnFormula>
    </tableColumn>
    <tableColumn id="16" name="COURSE 2 Spécial" dataDxfId="281">
      <calculatedColumnFormula>IF($O8="Spécial ",IFERROR($AF8,0),0)</calculatedColumnFormula>
    </tableColumn>
    <tableColumn id="8" name="TOTAL des POINTS" dataDxfId="280">
      <calculatedColumnFormula>SUM(Q8:V8)</calculatedColumnFormula>
    </tableColumn>
    <tableColumn id="14" name="Classement Club" dataDxfId="279"/>
    <tableColumn id="19" name="Calcul Saut 1" dataDxfId="278">
      <calculatedColumnFormula>IF($O8="Généraliste ",VLOOKUP($M8,Tableau17[[Licence]:[Points]],9,FALSE),IF($O8="Technique ",VLOOKUP($M8,Tableau17[[Licence]:[Points]],9,FALSE),IF($O8="Spécial ",VLOOKUP($M8,Tableau17[[Licence]:[Points]],9,FALSE),0)))</calculatedColumnFormula>
    </tableColumn>
    <tableColumn id="9" name="Calcul Saut 2" dataDxfId="277">
      <calculatedColumnFormula>IF($O8="Généraliste ",VLOOKUP($M8,Tableau110[[Licence]:[Points]],16,FALSE),IF($O8="Technique ",VLOOKUP($M8,Tableau110[[Licence]:[Points]],16,FALSE),IF($O8="Spécial ",VLOOKUP($M8,Tableau110[[Licence]:[Points]],16,FALSE),0)))</calculatedColumnFormula>
    </tableColumn>
    <tableColumn id="25" name="Calcul Saut 3" dataDxfId="276">
      <calculatedColumnFormula>IF($O8="Technique ",VLOOKUP($M8,Tableau1711[[Licence]:[Points]],9,FALSE),0)</calculatedColumnFormula>
    </tableColumn>
    <tableColumn id="26" name="Calcul Saut 4" dataDxfId="275">
      <calculatedColumnFormula>IF($O8="Technique ",VLOOKUP($M8,Tableau11012[[Licence]:[Points]],16,FALSE),0)</calculatedColumnFormula>
    </tableColumn>
    <tableColumn id="20" name="Calcul Lancer 1" dataDxfId="274">
      <calculatedColumnFormula>VLOOKUP($M8,Tableau16[[Licence]:[Points]],9,FALSE)</calculatedColumnFormula>
    </tableColumn>
    <tableColumn id="22" name="Calcul Lancer 2" dataDxfId="273">
      <calculatedColumnFormula>VLOOKUP($M8,Tableau1613[[Licence]:[Points]],9,FALSE)</calculatedColumnFormula>
    </tableColumn>
    <tableColumn id="23" name="Calcul Course 1" dataDxfId="272">
      <calculatedColumnFormula>VLOOKUP($M8,Tableau189[[Licence]:[Points]],12,FALSE)</calculatedColumnFormula>
    </tableColumn>
    <tableColumn id="24" name="Calcul Course 2" dataDxfId="271">
      <calculatedColumnFormula>VLOOKUP($M8,Tableau18914[[Licence]:[Points]],12,FALSE)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6" name="Tableau17" displayName="Tableau17" ref="A6:S37" totalsRowShown="0">
  <autoFilter ref="A6:S37"/>
  <tableColumns count="19">
    <tableColumn id="1" name="Nom " dataDxfId="14"/>
    <tableColumn id="2" name="Prénom" dataDxfId="13"/>
    <tableColumn id="3" name="Licence" dataDxfId="12"/>
    <tableColumn id="4" name="Catégorie Be/Mi " dataDxfId="270"/>
    <tableColumn id="13" name="Longueur ou Triple saut" dataDxfId="269"/>
    <tableColumn id="5" name="Essai1" dataDxfId="268"/>
    <tableColumn id="6" name="Essai2" dataDxfId="267"/>
    <tableColumn id="7" name="Essai3" dataDxfId="266"/>
    <tableColumn id="8" name="Essai4" dataDxfId="265"/>
    <tableColumn id="9" name="Meilleure Perf" dataDxfId="264">
      <calculatedColumnFormula>MAX(F7,G7,H7,I7)</calculatedColumnFormula>
    </tableColumn>
    <tableColumn id="10" name="Points" dataDxfId="263">
      <calculatedColumnFormula>MAX(L7,M7,N7,O7,P7,Q7,R7,S7,)</calculatedColumnFormula>
    </tableColumn>
    <tableColumn id="11" name="BeF" dataDxfId="262">
      <calculatedColumnFormula>IF($E7="Longueur ",IF($D7="BeF",VLOOKUP($J7,BeF_Concours!$D$3:$J$52,7,TRUE),FALSE))</calculatedColumnFormula>
    </tableColumn>
    <tableColumn id="12" name="BeF2" dataDxfId="261">
      <calculatedColumnFormula>IF($E7="Triple saut ",IF($D7="BeF",VLOOKUP($J7,BeF_Concours!$E$3:$J$52,6,TRUE),FALSE))</calculatedColumnFormula>
    </tableColumn>
    <tableColumn id="15" name="BeM" dataDxfId="260">
      <calculatedColumnFormula>IF($E7="Longueur ",IF($D7="BeM",VLOOKUP($J7,BeM_Concours!$D$3:$J$52,7,TRUE),FALSE))</calculatedColumnFormula>
    </tableColumn>
    <tableColumn id="16" name="BeM5" dataDxfId="259">
      <calculatedColumnFormula>IF($E7="Triple saut ",IF($D7="BeM",VLOOKUP($J7,BeM_Concours!$E$3:$J$52,6,TRUE),FALSE))</calculatedColumnFormula>
    </tableColumn>
    <tableColumn id="19" name="MiF" dataDxfId="258">
      <calculatedColumnFormula>IF($E7="Longueur ",IF($D7="MiF",VLOOKUP($J7,MiF_Concours!$D$3:$J$52,7,TRUE),FALSE))</calculatedColumnFormula>
    </tableColumn>
    <tableColumn id="20" name="MiF8" dataDxfId="257">
      <calculatedColumnFormula>IF($E7="Triple saut ",IF($D7="MiF",VLOOKUP($J7,MiF_Concours!$E$3:$J$52,6,TRUE),FALSE))</calculatedColumnFormula>
    </tableColumn>
    <tableColumn id="23" name="MiM" dataDxfId="256">
      <calculatedColumnFormula>IF($E7="Longueur ",IF($D7="MiM",VLOOKUP($J7,MiM_Concours!$D$3:$J$52,7,TRUE),FALSE))</calculatedColumnFormula>
    </tableColumn>
    <tableColumn id="24" name="MiM11" dataDxfId="255">
      <calculatedColumnFormula>IF($E7="Triple saut ",IF($D7="MiM",VLOOKUP($J7,MiM_Concours!$E$3:$J$52,6,TRUE),FALSE))</calculatedColumnFormula>
    </tableColumn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10" name="Tableau1711" displayName="Tableau1711" ref="A6:S37" totalsRowShown="0">
  <autoFilter ref="A6:S37"/>
  <tableColumns count="19">
    <tableColumn id="1" name="Nom " dataDxfId="254"/>
    <tableColumn id="2" name="Prénom" dataDxfId="253"/>
    <tableColumn id="3" name="Licence" dataDxfId="252"/>
    <tableColumn id="4" name="Catégorie Mi " dataDxfId="251"/>
    <tableColumn id="13" name="Longueur ou Triple saut" dataDxfId="250"/>
    <tableColumn id="5" name="Essai1" dataDxfId="249"/>
    <tableColumn id="6" name="Essai2" dataDxfId="248"/>
    <tableColumn id="7" name="Essai3" dataDxfId="247"/>
    <tableColumn id="8" name="Essai4" dataDxfId="246"/>
    <tableColumn id="9" name="Meilleure Perf" dataDxfId="245">
      <calculatedColumnFormula>MAX(F7,G7,H7,I7)</calculatedColumnFormula>
    </tableColumn>
    <tableColumn id="10" name="Points" dataDxfId="244">
      <calculatedColumnFormula>MAX(L7,M7,N7,O7,P7,Q7,R7,S7,)</calculatedColumnFormula>
    </tableColumn>
    <tableColumn id="11" name="BeF" dataDxfId="243">
      <calculatedColumnFormula>IF($E7="Longueur ",IF($D7="BeF",VLOOKUP($J7,BeF_Concours!$D$3:$J$52,7,TRUE),FALSE))</calculatedColumnFormula>
    </tableColumn>
    <tableColumn id="12" name="BeF2" dataDxfId="242">
      <calculatedColumnFormula>IF($E7="Triple saut ",IF($D7="BeF",VLOOKUP($J7,BeF_Concours!$E$3:$J$52,6,TRUE),FALSE))</calculatedColumnFormula>
    </tableColumn>
    <tableColumn id="15" name="BeM" dataDxfId="241">
      <calculatedColumnFormula>IF($E7="Longueur ",IF($D7="BeM",VLOOKUP($J7,BeM_Concours!$D$3:$J$52,7,TRUE),FALSE))</calculatedColumnFormula>
    </tableColumn>
    <tableColumn id="16" name="BeM5" dataDxfId="240">
      <calculatedColumnFormula>IF($E7="Triple saut ",IF($D7="BeM",VLOOKUP($J7,BeM_Concours!$E$3:$J$52,6,TRUE),FALSE))</calculatedColumnFormula>
    </tableColumn>
    <tableColumn id="19" name="MiF" dataDxfId="239">
      <calculatedColumnFormula>IF($E7="Longueur ",IF($D7="MiF",VLOOKUP($J7,MiF_Concours!$D$3:$J$52,7,TRUE),FALSE))</calculatedColumnFormula>
    </tableColumn>
    <tableColumn id="20" name="MiF8" dataDxfId="238">
      <calculatedColumnFormula>IF($E7="Triple saut ",IF($D7="MiF",VLOOKUP($J7,MiF_Concours!$E$3:$J$52,6,TRUE),FALSE))</calculatedColumnFormula>
    </tableColumn>
    <tableColumn id="23" name="MiM" dataDxfId="237">
      <calculatedColumnFormula>IF($E7="Longueur ",IF($D7="MiM",VLOOKUP($J7,MiM_Concours!$D$3:$J$52,7,TRUE),FALSE))</calculatedColumnFormula>
    </tableColumn>
    <tableColumn id="24" name="MiM11" dataDxfId="236">
      <calculatedColumnFormula>IF($E7="Triple saut ",IF($D7="MiM",VLOOKUP($J7,MiM_Concours!$E$3:$J$52,6,TRUE),FALSE))</calculatedColumnFormula>
    </tableColumn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9" name="Tableau110" displayName="Tableau110" ref="A6:Z37" totalsRowShown="0">
  <autoFilter ref="A6:Z37"/>
  <tableColumns count="26">
    <tableColumn id="1" name="Nom " dataDxfId="11"/>
    <tableColumn id="2" name="Prénom" dataDxfId="10"/>
    <tableColumn id="3" name="Licence" dataDxfId="9"/>
    <tableColumn id="4" name="Catégorie Be/Mi " dataDxfId="235"/>
    <tableColumn id="13" name="Hauteur/ Perche" dataDxfId="234"/>
    <tableColumn id="31" name="Observation" dataDxfId="233"/>
    <tableColumn id="5" name="Barre 1 " dataDxfId="232"/>
    <tableColumn id="28" name="Barre 2" dataDxfId="231"/>
    <tableColumn id="27" name="Barre 3" dataDxfId="230"/>
    <tableColumn id="26" name="Barre 4 " dataDxfId="229"/>
    <tableColumn id="29" name="Barre 5" dataDxfId="228"/>
    <tableColumn id="25" name="Barre 6" dataDxfId="227"/>
    <tableColumn id="6" name="Barre 7" dataDxfId="226"/>
    <tableColumn id="7" name="Barre 8 " dataDxfId="225"/>
    <tableColumn id="30" name="Barre 9" dataDxfId="224"/>
    <tableColumn id="8" name="Barre 10" dataDxfId="223"/>
    <tableColumn id="9" name="Meilleure Perf" dataDxfId="222">
      <calculatedColumnFormula>MAX(G7,H7,I7,J7,K7,L7,M7,N7,O7,P7)</calculatedColumnFormula>
    </tableColumn>
    <tableColumn id="10" name="Points" dataDxfId="221">
      <calculatedColumnFormula>MAX(S7,T7,U7,V7,W7,X7,Y7,Z7,)</calculatedColumnFormula>
    </tableColumn>
    <tableColumn id="11" name="BeF" dataDxfId="220">
      <calculatedColumnFormula>IF($E7="Hauteur ",IF($D7="BeF",VLOOKUP($Q7,BeF_Concours!B$3:J$52,9,TRUE),FALSE))</calculatedColumnFormula>
    </tableColumn>
    <tableColumn id="12" name="BeF2" dataDxfId="219">
      <calculatedColumnFormula>IF($E7="Perche ",IF($D7="BeF",VLOOKUP($Q7,BeF_Concours!C$3:J$52,8,TRUE),FALSE))</calculatedColumnFormula>
    </tableColumn>
    <tableColumn id="15" name="BeM" dataDxfId="218">
      <calculatedColumnFormula>IF($E7="Hauteur ",IF($D7="BeM",VLOOKUP($Q7,BeM_Concours!B$3:J$52,9,TRUE),FALSE))</calculatedColumnFormula>
    </tableColumn>
    <tableColumn id="16" name="BeM5" dataDxfId="217">
      <calculatedColumnFormula>IF($E7="Perche ",IF($D7="BeM",VLOOKUP($Q7,BeM_Concours!C$3:J$52,8,TRUE),FALSE))</calculatedColumnFormula>
    </tableColumn>
    <tableColumn id="19" name="MiF" dataDxfId="216">
      <calculatedColumnFormula>IF($E7="Hauteur ",IF($D7="MiF",VLOOKUP($Q7,MiF_Concours!B$3:J$52,9,TRUE),FALSE))</calculatedColumnFormula>
    </tableColumn>
    <tableColumn id="20" name="MiF8" dataDxfId="215">
      <calculatedColumnFormula>IF($E7="Perche ",IF($D7="MiF",VLOOKUP($Q7,MiF_Concours!C$3:J$52,8,TRUE),FALSE))</calculatedColumnFormula>
    </tableColumn>
    <tableColumn id="23" name="MiM" dataDxfId="214">
      <calculatedColumnFormula>IF($E7="Hauteur ",IF($D7="MiM",VLOOKUP($Q7,MiM_Concours!B$3:J$52,9,TRUE),FALSE))</calculatedColumnFormula>
    </tableColumn>
    <tableColumn id="24" name="MiM11" dataDxfId="213">
      <calculatedColumnFormula>IF($E7="Perche ",IF($D7="MiM",VLOOKUP($Q7,MiM_Concours!C$3:J$52,8,TRUE),FALSE))</calculatedColumnFormula>
    </tableColumn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id="11" name="Tableau11012" displayName="Tableau11012" ref="A6:Z37" totalsRowShown="0">
  <autoFilter ref="A6:Z37"/>
  <tableColumns count="26">
    <tableColumn id="1" name="Nom " dataDxfId="8"/>
    <tableColumn id="2" name="Prénom" dataDxfId="7"/>
    <tableColumn id="3" name="Licence" dataDxfId="6"/>
    <tableColumn id="4" name="Catégorie Mi " dataDxfId="212"/>
    <tableColumn id="13" name="Hauteur/ Perche" dataDxfId="211"/>
    <tableColumn id="31" name="Observation" dataDxfId="210"/>
    <tableColumn id="5" name="Barre 1 " dataDxfId="209"/>
    <tableColumn id="28" name="Barre 2" dataDxfId="208"/>
    <tableColumn id="27" name="Barre 3" dataDxfId="207"/>
    <tableColumn id="26" name="Barre 4 " dataDxfId="206"/>
    <tableColumn id="29" name="Barre 5" dataDxfId="205"/>
    <tableColumn id="25" name="Barre 6" dataDxfId="204"/>
    <tableColumn id="6" name="Barre 7" dataDxfId="203"/>
    <tableColumn id="7" name="Barre 8 " dataDxfId="202"/>
    <tableColumn id="30" name="Barre 9" dataDxfId="201"/>
    <tableColumn id="8" name="Barre 10" dataDxfId="200"/>
    <tableColumn id="9" name="Meilleure Perf" dataDxfId="199">
      <calculatedColumnFormula>MAX(G7,H7,I7,J7,K7,L7,M7,N7,O7,P7)</calculatedColumnFormula>
    </tableColumn>
    <tableColumn id="10" name="Points" dataDxfId="198">
      <calculatedColumnFormula>MAX(S7,T7,U7,V7,W7,X7,Y7,Z7,)</calculatedColumnFormula>
    </tableColumn>
    <tableColumn id="11" name="BeF" dataDxfId="197">
      <calculatedColumnFormula>IF($E7="Hauteur ",IF($D7="BeF",VLOOKUP($Q7,BeF_Concours!B$3:J$52,9,TRUE),FALSE))</calculatedColumnFormula>
    </tableColumn>
    <tableColumn id="12" name="BeF2" dataDxfId="196">
      <calculatedColumnFormula>IF($E7="Perche ",IF($D7="BeF",VLOOKUP($Q7,BeF_Concours!C$3:J$52,8,TRUE),FALSE))</calculatedColumnFormula>
    </tableColumn>
    <tableColumn id="15" name="BeM" dataDxfId="195">
      <calculatedColumnFormula>IF($E7="Hauteur ",IF($D7="BeM",VLOOKUP($Q7,BeM_Concours!B$3:J$52,9,TRUE),FALSE))</calculatedColumnFormula>
    </tableColumn>
    <tableColumn id="16" name="BeM5" dataDxfId="194">
      <calculatedColumnFormula>IF($E7="Perche ",IF($D7="BeM",VLOOKUP($Q7,BeM_Concours!C$3:J$52,8,TRUE),FALSE))</calculatedColumnFormula>
    </tableColumn>
    <tableColumn id="19" name="MiF" dataDxfId="193">
      <calculatedColumnFormula>IF($E7="Hauteur ",IF($D7="MiF",VLOOKUP($Q7,MiF_Concours!B$3:J$52,9,TRUE),FALSE))</calculatedColumnFormula>
    </tableColumn>
    <tableColumn id="20" name="MiF8" dataDxfId="192">
      <calculatedColumnFormula>IF($E7="Perche ",IF($D7="MiF",VLOOKUP($Q7,MiF_Concours!C$3:J$52,8,TRUE),FALSE))</calculatedColumnFormula>
    </tableColumn>
    <tableColumn id="23" name="MiM" dataDxfId="191">
      <calculatedColumnFormula>IF($E7="Hauteur ",IF($D7="MiM",VLOOKUP($Q7,MiM_Concours!B$3:J$52,9,TRUE),FALSE))</calculatedColumnFormula>
    </tableColumn>
    <tableColumn id="24" name="MiM11" dataDxfId="190">
      <calculatedColumnFormula>IF($E7="Perche ",IF($D7="MiM",VLOOKUP($Q7,MiM_Concours!C$3:J$52,8,TRUE),FALSE))</calculatedColumnFormula>
    </tableColumn>
  </tableColumns>
  <tableStyleInfo name="TableStyleMedium16" showFirstColumn="0" showLastColumn="0" showRowStripes="1" showColumnStripes="0"/>
</table>
</file>

<file path=xl/tables/table9.xml><?xml version="1.0" encoding="utf-8"?>
<table xmlns="http://schemas.openxmlformats.org/spreadsheetml/2006/main" id="5" name="Tableau16" displayName="Tableau16" ref="A6:AA37" totalsRowShown="0">
  <autoFilter ref="A6:AA37"/>
  <tableColumns count="27">
    <tableColumn id="1" name="Nom " dataDxfId="5"/>
    <tableColumn id="2" name="Prénom" dataDxfId="4"/>
    <tableColumn id="3" name="Licence" dataDxfId="3"/>
    <tableColumn id="4" name="Catégorie Be/Mi " dataDxfId="189"/>
    <tableColumn id="27" name="Poids - Javelot - Disque - Marteau" dataDxfId="188"/>
    <tableColumn id="5" name="Essai1" dataDxfId="187"/>
    <tableColumn id="6" name="Essai2" dataDxfId="186"/>
    <tableColumn id="7" name="Essai3" dataDxfId="185"/>
    <tableColumn id="8" name="Essai4" dataDxfId="184"/>
    <tableColumn id="9" name="Meilleure Perf" dataDxfId="183">
      <calculatedColumnFormula>MAX(F7,G7,H7,I7)</calculatedColumnFormula>
    </tableColumn>
    <tableColumn id="10" name="Points" dataDxfId="182">
      <calculatedColumnFormula>MAX(L7,M7,N7,O7,P7,Q7,R7,S7,T7,U7,V7,W7,X7,Y7,Z7,AA7)</calculatedColumnFormula>
    </tableColumn>
    <tableColumn id="11" name="BeF" dataDxfId="181">
      <calculatedColumnFormula>IF($E7="Poids ",IF($D7="BeF",VLOOKUP($J7,BeF_Concours!$F$3:$J$52,5,TRUE),FALSE))</calculatedColumnFormula>
    </tableColumn>
    <tableColumn id="12" name="BeF2" dataDxfId="180">
      <calculatedColumnFormula>IF($E7="Javelot ",IF($D7="BeF",VLOOKUP($J7,BeF_Concours!$I$3:$J$52,2,TRUE),FALSE))</calculatedColumnFormula>
    </tableColumn>
    <tableColumn id="13" name="BeF3" dataDxfId="179">
      <calculatedColumnFormula>IF($E7="Disque ",IF($D7="BeF",VLOOKUP($J7,BeF_Concours!$G$3:$J$52,4,TRUE),FALSE))</calculatedColumnFormula>
    </tableColumn>
    <tableColumn id="14" name="BeF4" dataDxfId="178">
      <calculatedColumnFormula>IF($E7="Marteau ",IF($D7="BeF",VLOOKUP($J7,BeF_Concours!$H$3:$J$52,3,"VRAI"),FALSE))</calculatedColumnFormula>
    </tableColumn>
    <tableColumn id="15" name="BeM" dataDxfId="177">
      <calculatedColumnFormula>IF($E7="Poids ",IF($D7="BeM",VLOOKUP($J7,BeM_Concours!F$3:J$52,5,TRUE),TRUE))</calculatedColumnFormula>
    </tableColumn>
    <tableColumn id="16" name="BeM5" dataDxfId="176">
      <calculatedColumnFormula>IF($E7="Javelot ",IF($D7="BeM",VLOOKUP($J7,BeM_Concours!$I$3:$J$52,2,TRUE),FALSE))</calculatedColumnFormula>
    </tableColumn>
    <tableColumn id="17" name="BeM6" dataDxfId="175">
      <calculatedColumnFormula>IF($E7="Disque ",IF($D7="BeM",VLOOKUP($J7,BeM_Concours!$G$3:$J$52,4,TRUE),FALSE))</calculatedColumnFormula>
    </tableColumn>
    <tableColumn id="18" name="BeM7" dataDxfId="174">
      <calculatedColumnFormula>IF($E7="Marteau ",IF($D7="BeM",VLOOKUP($J7,BeM_Concours!$H$3:$J$52,3,"VRAI"),FALSE))</calculatedColumnFormula>
    </tableColumn>
    <tableColumn id="19" name="MiF" dataDxfId="173">
      <calculatedColumnFormula>IF($E7="Poids ",IF($D7="MiF",VLOOKUP($J7,MiF_Concours!$F$3:$J$52,5,TRUE),FALSE))</calculatedColumnFormula>
    </tableColumn>
    <tableColumn id="20" name="MiF8" dataDxfId="172">
      <calculatedColumnFormula>IF($E7="Javelot ",IF($D7="MiF",VLOOKUP($J7,MiF_Concours!$I$3:$J$52,2,TRUE),FALSE))</calculatedColumnFormula>
    </tableColumn>
    <tableColumn id="21" name="MiF9" dataDxfId="171">
      <calculatedColumnFormula>IF($E7="Disque ",IF($D7="MiF",VLOOKUP($J7,MiF_Concours!$G$3:$J$52,4,TRUE),FALSE))</calculatedColumnFormula>
    </tableColumn>
    <tableColumn id="22" name="MiF10" dataDxfId="170">
      <calculatedColumnFormula>IF($E7="Marteau ",IF($D7="MiF",VLOOKUP($J7,MiF_Concours!$H$3:$J$52,3,"VRAI"),FALSE))</calculatedColumnFormula>
    </tableColumn>
    <tableColumn id="23" name="MiM" dataDxfId="169">
      <calculatedColumnFormula>IF($E7="Poids ",IF($D7="MiM",VLOOKUP($J7,MiM_Concours!$F$3:$J$52,5,TRUE),FALSE))</calculatedColumnFormula>
    </tableColumn>
    <tableColumn id="24" name="MiM11" dataDxfId="168">
      <calculatedColumnFormula>IF($E7="Javelot ",IF($D7="MiM",VLOOKUP($J7,MiM_Concours!$I$3:$J$52,2,TRUE),FALSE))</calculatedColumnFormula>
    </tableColumn>
    <tableColumn id="25" name="MiM12" dataDxfId="167">
      <calculatedColumnFormula>IF($E7="Disque ",IF($D7="MiM",VLOOKUP($J7,MiM_Concours!$G$3:$J$52,4,TRUE),FALSE))</calculatedColumnFormula>
    </tableColumn>
    <tableColumn id="26" name="MiM13" dataDxfId="166">
      <calculatedColumnFormula>IF($E7="Marteau ",IF($D7="MiM",VLOOKUP($J7,MiM_Concours!$H$3:$J$52,3,"VRAI"),FALSE))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j@lapaca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K55"/>
  <sheetViews>
    <sheetView tabSelected="1" zoomScale="130" zoomScaleNormal="130" workbookViewId="0" topLeftCell="A1">
      <selection activeCell="C30" sqref="C30"/>
    </sheetView>
  </sheetViews>
  <sheetFormatPr defaultColWidth="11.421875" defaultRowHeight="15"/>
  <cols>
    <col min="1" max="1" width="5.140625" style="0" customWidth="1"/>
    <col min="2" max="2" width="6.8515625" style="0" customWidth="1"/>
  </cols>
  <sheetData>
    <row r="1" ht="105.75" customHeight="1"/>
    <row r="2" spans="1:9" ht="15">
      <c r="A2" s="135" t="s">
        <v>234</v>
      </c>
      <c r="G2" s="182" t="s">
        <v>321</v>
      </c>
      <c r="H2" s="182"/>
      <c r="I2" s="182"/>
    </row>
    <row r="3" spans="1:2" ht="15.75">
      <c r="A3">
        <v>1</v>
      </c>
      <c r="B3" s="132" t="s">
        <v>235</v>
      </c>
    </row>
    <row r="4" spans="2:3" ht="15">
      <c r="B4" s="128" t="s">
        <v>239</v>
      </c>
      <c r="C4" s="129" t="s">
        <v>259</v>
      </c>
    </row>
    <row r="5" spans="2:3" ht="15">
      <c r="B5" s="128" t="s">
        <v>240</v>
      </c>
      <c r="C5" t="s">
        <v>256</v>
      </c>
    </row>
    <row r="6" spans="3:7" ht="15">
      <c r="C6" s="128" t="s">
        <v>241</v>
      </c>
      <c r="D6" s="129" t="s">
        <v>258</v>
      </c>
      <c r="G6" s="129" t="s">
        <v>257</v>
      </c>
    </row>
    <row r="7" spans="3:4" ht="15">
      <c r="C7" s="128" t="s">
        <v>242</v>
      </c>
      <c r="D7" s="129" t="s">
        <v>236</v>
      </c>
    </row>
    <row r="8" spans="3:4" ht="15">
      <c r="C8" s="128" t="s">
        <v>243</v>
      </c>
      <c r="D8" s="129" t="s">
        <v>237</v>
      </c>
    </row>
    <row r="9" spans="2:3" ht="15">
      <c r="B9" s="128" t="s">
        <v>238</v>
      </c>
      <c r="C9" t="s">
        <v>307</v>
      </c>
    </row>
    <row r="10" spans="3:4" ht="15">
      <c r="C10" s="128" t="s">
        <v>244</v>
      </c>
      <c r="D10" t="s">
        <v>254</v>
      </c>
    </row>
    <row r="11" spans="3:4" ht="15">
      <c r="C11" s="128" t="s">
        <v>245</v>
      </c>
      <c r="D11" t="s">
        <v>255</v>
      </c>
    </row>
    <row r="12" spans="4:5" ht="15">
      <c r="D12" s="128" t="s">
        <v>246</v>
      </c>
      <c r="E12" t="s">
        <v>247</v>
      </c>
    </row>
    <row r="13" spans="4:5" ht="15">
      <c r="D13" s="128" t="s">
        <v>248</v>
      </c>
      <c r="E13" t="s">
        <v>249</v>
      </c>
    </row>
    <row r="14" spans="4:5" ht="15">
      <c r="D14" s="128" t="s">
        <v>250</v>
      </c>
      <c r="E14" t="s">
        <v>251</v>
      </c>
    </row>
    <row r="15" spans="4:5" ht="15">
      <c r="D15" s="128" t="s">
        <v>252</v>
      </c>
      <c r="E15" t="s">
        <v>253</v>
      </c>
    </row>
    <row r="16" ht="15" customHeight="1">
      <c r="B16" s="131" t="s">
        <v>302</v>
      </c>
    </row>
    <row r="17" ht="15" customHeight="1">
      <c r="A17" s="97" t="s">
        <v>309</v>
      </c>
    </row>
    <row r="18" spans="1:2" ht="12.75" customHeight="1">
      <c r="A18">
        <v>2</v>
      </c>
      <c r="B18" s="132" t="s">
        <v>260</v>
      </c>
    </row>
    <row r="19" spans="2:3" ht="15">
      <c r="B19" s="133" t="s">
        <v>261</v>
      </c>
      <c r="C19" s="129" t="s">
        <v>268</v>
      </c>
    </row>
    <row r="20" spans="2:3" ht="15">
      <c r="B20" s="133" t="s">
        <v>262</v>
      </c>
      <c r="C20" t="s">
        <v>272</v>
      </c>
    </row>
    <row r="21" spans="3:4" ht="15">
      <c r="C21" s="127" t="s">
        <v>263</v>
      </c>
      <c r="D21" s="130" t="s">
        <v>315</v>
      </c>
    </row>
    <row r="22" spans="4:8" ht="15">
      <c r="D22" s="128" t="s">
        <v>264</v>
      </c>
      <c r="E22" s="129" t="s">
        <v>277</v>
      </c>
      <c r="H22" s="129" t="s">
        <v>257</v>
      </c>
    </row>
    <row r="23" spans="4:5" ht="15">
      <c r="D23" s="128" t="s">
        <v>265</v>
      </c>
      <c r="E23" s="129" t="s">
        <v>278</v>
      </c>
    </row>
    <row r="24" spans="4:5" ht="15">
      <c r="D24" s="128" t="s">
        <v>266</v>
      </c>
      <c r="E24" s="129" t="s">
        <v>267</v>
      </c>
    </row>
    <row r="25" spans="3:4" ht="15">
      <c r="C25" s="127" t="s">
        <v>269</v>
      </c>
      <c r="D25" s="130" t="s">
        <v>316</v>
      </c>
    </row>
    <row r="26" spans="4:5" ht="15">
      <c r="D26" s="128" t="s">
        <v>270</v>
      </c>
      <c r="E26" t="s">
        <v>288</v>
      </c>
    </row>
    <row r="27" spans="5:6" ht="15">
      <c r="E27" s="128" t="s">
        <v>273</v>
      </c>
      <c r="F27" s="129" t="s">
        <v>279</v>
      </c>
    </row>
    <row r="28" spans="5:6" ht="15">
      <c r="E28" s="128" t="s">
        <v>274</v>
      </c>
      <c r="F28" s="129" t="s">
        <v>280</v>
      </c>
    </row>
    <row r="29" spans="5:6" ht="15">
      <c r="E29" s="128" t="s">
        <v>275</v>
      </c>
      <c r="F29" s="129" t="s">
        <v>257</v>
      </c>
    </row>
    <row r="30" spans="5:6" ht="15">
      <c r="E30" s="128" t="s">
        <v>276</v>
      </c>
      <c r="F30" s="129" t="s">
        <v>285</v>
      </c>
    </row>
    <row r="31" spans="5:6" ht="15">
      <c r="E31" s="128" t="s">
        <v>283</v>
      </c>
      <c r="F31" s="129" t="s">
        <v>281</v>
      </c>
    </row>
    <row r="32" spans="5:6" ht="15">
      <c r="E32" s="128" t="s">
        <v>284</v>
      </c>
      <c r="F32" s="129" t="s">
        <v>282</v>
      </c>
    </row>
    <row r="33" spans="4:6" ht="15">
      <c r="D33" s="127" t="s">
        <v>271</v>
      </c>
      <c r="E33" s="128" t="s">
        <v>289</v>
      </c>
      <c r="F33" s="129" t="s">
        <v>267</v>
      </c>
    </row>
    <row r="34" spans="3:4" ht="15">
      <c r="C34" s="127" t="s">
        <v>286</v>
      </c>
      <c r="D34" s="130" t="s">
        <v>317</v>
      </c>
    </row>
    <row r="35" spans="4:5" ht="15">
      <c r="D35" s="127" t="s">
        <v>287</v>
      </c>
      <c r="E35" s="134" t="s">
        <v>290</v>
      </c>
    </row>
    <row r="36" spans="5:6" ht="15">
      <c r="E36" s="128" t="s">
        <v>291</v>
      </c>
      <c r="F36" s="129" t="s">
        <v>267</v>
      </c>
    </row>
    <row r="37" spans="5:6" ht="15">
      <c r="E37" s="128" t="s">
        <v>292</v>
      </c>
      <c r="F37" s="129" t="s">
        <v>293</v>
      </c>
    </row>
    <row r="38" spans="4:6" ht="15">
      <c r="D38" s="127" t="s">
        <v>311</v>
      </c>
      <c r="E38" s="134" t="s">
        <v>312</v>
      </c>
      <c r="F38" s="129"/>
    </row>
    <row r="39" spans="4:9" ht="15">
      <c r="D39" s="127"/>
      <c r="E39" s="128" t="s">
        <v>313</v>
      </c>
      <c r="F39" s="129" t="s">
        <v>277</v>
      </c>
      <c r="I39" s="129" t="s">
        <v>257</v>
      </c>
    </row>
    <row r="40" spans="4:6" ht="15">
      <c r="D40" s="127"/>
      <c r="E40" s="128" t="s">
        <v>314</v>
      </c>
      <c r="F40" s="129" t="s">
        <v>278</v>
      </c>
    </row>
    <row r="41" spans="2:3" ht="15">
      <c r="B41" s="128" t="s">
        <v>294</v>
      </c>
      <c r="C41" t="s">
        <v>306</v>
      </c>
    </row>
    <row r="42" spans="3:4" ht="15">
      <c r="C42" s="128" t="s">
        <v>296</v>
      </c>
      <c r="D42" t="s">
        <v>295</v>
      </c>
    </row>
    <row r="43" spans="3:4" ht="15">
      <c r="C43" s="128" t="s">
        <v>297</v>
      </c>
      <c r="D43" t="s">
        <v>255</v>
      </c>
    </row>
    <row r="44" spans="4:5" ht="15">
      <c r="D44" s="128" t="s">
        <v>298</v>
      </c>
      <c r="E44" t="s">
        <v>247</v>
      </c>
    </row>
    <row r="45" spans="4:5" ht="15">
      <c r="D45" s="128" t="s">
        <v>299</v>
      </c>
      <c r="E45" t="s">
        <v>249</v>
      </c>
    </row>
    <row r="46" spans="4:5" ht="15">
      <c r="D46" s="128" t="s">
        <v>300</v>
      </c>
      <c r="E46" t="s">
        <v>251</v>
      </c>
    </row>
    <row r="47" spans="4:5" ht="15">
      <c r="D47" s="128" t="s">
        <v>301</v>
      </c>
      <c r="E47" t="s">
        <v>253</v>
      </c>
    </row>
    <row r="48" ht="15">
      <c r="B48" s="131" t="s">
        <v>303</v>
      </c>
    </row>
    <row r="49" ht="15.75" thickBot="1">
      <c r="A49" s="97" t="s">
        <v>309</v>
      </c>
    </row>
    <row r="50" spans="2:11" ht="26.25" customHeight="1" thickBot="1">
      <c r="B50" s="178" t="s">
        <v>304</v>
      </c>
      <c r="C50" s="179"/>
      <c r="D50" s="179"/>
      <c r="E50" s="179"/>
      <c r="F50" s="179"/>
      <c r="G50" s="179"/>
      <c r="H50" s="179"/>
      <c r="I50" s="179"/>
      <c r="J50" s="179"/>
      <c r="K50" s="180"/>
    </row>
    <row r="52" spans="3:4" ht="15">
      <c r="C52" t="s">
        <v>305</v>
      </c>
      <c r="D52" t="s">
        <v>308</v>
      </c>
    </row>
    <row r="53" ht="15">
      <c r="A53" t="s">
        <v>310</v>
      </c>
    </row>
    <row r="54" spans="2:8" ht="15">
      <c r="B54" s="130" t="s">
        <v>318</v>
      </c>
      <c r="C54" s="130"/>
      <c r="D54" s="130"/>
      <c r="E54" s="130"/>
      <c r="F54" s="130"/>
      <c r="G54" s="130"/>
      <c r="H54" s="130"/>
    </row>
    <row r="55" spans="2:4" ht="15">
      <c r="B55" s="181" t="s">
        <v>319</v>
      </c>
      <c r="C55" s="181"/>
      <c r="D55" s="129" t="s">
        <v>320</v>
      </c>
    </row>
  </sheetData>
  <sheetProtection password="D2F3" sheet="1" objects="1" scenarios="1"/>
  <mergeCells count="3">
    <mergeCell ref="B50:K50"/>
    <mergeCell ref="B55:C55"/>
    <mergeCell ref="G2:I2"/>
  </mergeCells>
  <hyperlinks>
    <hyperlink ref="D6" location="'PERFS_SAUTS HORIZONTAUX'!Zone_d_impression" display="&quot;Perf_SAUTS HORIZONTAUX&quot; ou "/>
    <hyperlink ref="G6" location="'PERFS_SAUTS VERTICAUX'!Zone_d_impression" display="&quot;PERFS_SAUTS VERTICAUX&quot;"/>
    <hyperlink ref="D7" location="PERFS_LANCERS!Zone_d_impression" display="&quot;Perf_LANCERS&quot;"/>
    <hyperlink ref="D8" location="PERFS_COURSES_BE!Zone_d_impression" display="&quot;PERFS_COURSES_BE&quot;"/>
    <hyperlink ref="C4" location="'Feuille Engagement Benjamin(e)s'!Zone_d_impression" display="Saisir le nom prénom et licence de chaque athlète. (Attention sans le n° de licence les calculs ne peuvent être faits)"/>
    <hyperlink ref="B16" location="'Feuille Engagement Benjamin(e)s'!Zone_d_impression" display="Si vous avez tout bien rempli, les totaux des points sera reporté sur la feuille d'engagement des Benjamin (e)s:"/>
    <hyperlink ref="E22" location="'PERFS_SAUTS HORIZONTAUX'!Zone_d_impression" display="&quot;Perf_SAUTS HORIZONTAUX&quot; ou "/>
    <hyperlink ref="H22" location="'PERFS_SAUTS VERTICAUX'!Zone_d_impression" display="&quot;PERFS_SAUTS VERTICAUX&quot;"/>
    <hyperlink ref="E23" location="PERFS_LANCERS!Zone_d_impression" display="&quot;Perf_LANCERS&quot;"/>
    <hyperlink ref="E24" location="PERFS_COURSES_MI!Zone_d_impression" display="&quot;PERFS_COURSES_MI&quot;"/>
    <hyperlink ref="C19" location="'Feuille Engagement Minimes'!A1" display="Saisir le nom, prénom et licence de chaque athlète et choisissez le type de triathlon (Généraliste / Technique / Spécial) Liste déroulante au choix"/>
    <hyperlink ref="F27" location="'PERFS_SAUTS HORIZONTAUX'!Zone_d_impression" display="&quot;Perf_SAUTS HORIZONTAUX&quot; ou "/>
    <hyperlink ref="F29" location="'PERFS_SAUTS VERTICAUX'!Zone_d_impression" display="&quot;PERFS_SAUTS VERTICAUX&quot;"/>
    <hyperlink ref="F28" location="'PERFS_SAUTS HORIZONTAUX (2)'!A1" display="&quot;PERFS_SAUTS HORIZONTAUX (2)&quot; (exemple  si choix technique de faire Longueur et Triple)"/>
    <hyperlink ref="F30" location="'PERFS_SAUTS VERTICAUX (2)'!A1" display="&quot;PERFS_SAUTS VERTICAUX (2)&quot; (exemple  si choix technique de faire Hauteur et Perche)"/>
    <hyperlink ref="F31" location="PERFS_LANCERS!Zone_d_impression" display="&quot;PERFS_LANCERS&quot;"/>
    <hyperlink ref="F32" location="'PERFS_LANCERS (2)'!A1" display="&quot;PERFS_LANCERS (2)&quot; (exemple si choix technique de faire 2 Lancers)"/>
    <hyperlink ref="F33" location="PERFS_COURSES_MI!Zone_d_impression" display="&quot;PERFS_COURSES_MI&quot;"/>
    <hyperlink ref="F36" location="PERFS_COURSES_MI!Zone_d_impression" display="&quot;PERFS_COURSES_MI&quot;"/>
    <hyperlink ref="F37" location="'PERFS_COURSES_MI (2)'!A1" display="&quot;PERFS_COURSES_MI (2)&quot;"/>
    <hyperlink ref="B48" location="'Feuille Engagement Minimes'!A1" display="Si vous avez tout correctement renseigné, les totaux des points seront reportés sur la feuille d'engagement des Minimes"/>
    <hyperlink ref="F39" location="'PERFS_SAUTS HORIZONTAUX'!Zone_d_impression" display="&quot;Perf_SAUTS HORIZONTAUX&quot; ou "/>
    <hyperlink ref="I39" location="'PERFS_SAUTS VERTICAUX'!Zone_d_impression" display="&quot;PERFS_SAUTS VERTICAUX&quot;"/>
    <hyperlink ref="F40" location="PERFS_LANCERS!Zone_d_impression" display="&quot;Perf_LANCERS&quot;"/>
    <hyperlink ref="D55" r:id="rId1" display="mailto:crj@lapaca.fr"/>
  </hyperlink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97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38"/>
  <sheetViews>
    <sheetView workbookViewId="0" topLeftCell="A2">
      <selection activeCell="F30" sqref="F30"/>
    </sheetView>
  </sheetViews>
  <sheetFormatPr defaultColWidth="11.421875" defaultRowHeight="15"/>
  <cols>
    <col min="1" max="3" width="18.28125" style="0" customWidth="1"/>
    <col min="4" max="5" width="18.00390625" style="2" customWidth="1"/>
    <col min="6" max="10" width="12.57421875" style="2" customWidth="1"/>
    <col min="11" max="11" width="13.8515625" style="2" bestFit="1" customWidth="1"/>
    <col min="12" max="18" width="11.421875" style="0" hidden="1" customWidth="1"/>
    <col min="19" max="19" width="11.421875" style="2" hidden="1" customWidth="1"/>
    <col min="20" max="24" width="11.421875" style="0" hidden="1" customWidth="1"/>
    <col min="25" max="25" width="11.421875" style="74" hidden="1" customWidth="1"/>
    <col min="26" max="26" width="11.421875" style="0" hidden="1" customWidth="1"/>
    <col min="27" max="31" width="11.421875" style="74" hidden="1" customWidth="1"/>
  </cols>
  <sheetData>
    <row r="1" spans="1:13" ht="171" customHeight="1" thickBot="1">
      <c r="A1" s="5"/>
      <c r="B1" s="6"/>
      <c r="C1" s="6"/>
      <c r="D1" s="123"/>
      <c r="E1" s="123"/>
      <c r="F1" s="123"/>
      <c r="G1" s="123"/>
      <c r="H1" s="123"/>
      <c r="I1" s="123"/>
      <c r="J1" s="123"/>
      <c r="K1" s="123"/>
      <c r="L1" s="8"/>
      <c r="M1" s="30"/>
    </row>
    <row r="2" spans="1:14" ht="12" customHeight="1">
      <c r="A2" s="197" t="s">
        <v>76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28"/>
      <c r="M2" s="31"/>
      <c r="N2" t="s">
        <v>67</v>
      </c>
    </row>
    <row r="3" spans="1:24" ht="14.25" customHeight="1" thickBot="1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9"/>
      <c r="M3" s="31"/>
      <c r="N3" t="s">
        <v>68</v>
      </c>
      <c r="X3" t="s">
        <v>52</v>
      </c>
    </row>
    <row r="4" spans="1:24" ht="15.75" thickBot="1">
      <c r="A4" s="21" t="s">
        <v>65</v>
      </c>
      <c r="B4" s="22"/>
      <c r="C4" s="203" t="str">
        <f>IF(B4="50mH ",P4,IF(B4="200mH ",P5," "))</f>
        <v/>
      </c>
      <c r="D4" s="204"/>
      <c r="E4" s="204"/>
      <c r="F4" s="205"/>
      <c r="G4" s="79" t="s">
        <v>62</v>
      </c>
      <c r="H4" s="206"/>
      <c r="I4" s="206"/>
      <c r="J4" s="206"/>
      <c r="K4" s="207"/>
      <c r="L4" s="9"/>
      <c r="M4" s="30"/>
      <c r="N4" t="s">
        <v>69</v>
      </c>
      <c r="P4" t="s">
        <v>71</v>
      </c>
      <c r="X4" t="s">
        <v>53</v>
      </c>
    </row>
    <row r="5" spans="1:24" ht="15">
      <c r="A5" s="18" t="s">
        <v>0</v>
      </c>
      <c r="B5" s="195" t="s">
        <v>61</v>
      </c>
      <c r="C5" s="187"/>
      <c r="D5" s="188"/>
      <c r="E5" s="188"/>
      <c r="F5" s="211"/>
      <c r="G5" s="215" t="s">
        <v>1</v>
      </c>
      <c r="H5" s="216"/>
      <c r="I5" s="217" t="s">
        <v>2</v>
      </c>
      <c r="J5" s="218"/>
      <c r="K5" s="10" t="s">
        <v>63</v>
      </c>
      <c r="L5" s="9"/>
      <c r="M5" s="30"/>
      <c r="N5" t="s">
        <v>70</v>
      </c>
      <c r="P5" t="s">
        <v>71</v>
      </c>
      <c r="X5" t="s">
        <v>54</v>
      </c>
    </row>
    <row r="6" spans="1:24" ht="15.75" thickBot="1">
      <c r="A6" s="24"/>
      <c r="B6" s="210"/>
      <c r="C6" s="212"/>
      <c r="D6" s="213"/>
      <c r="E6" s="213"/>
      <c r="F6" s="214"/>
      <c r="G6" s="219"/>
      <c r="H6" s="220"/>
      <c r="I6" s="221"/>
      <c r="J6" s="222"/>
      <c r="K6" s="10" t="s">
        <v>64</v>
      </c>
      <c r="L6" s="9"/>
      <c r="M6" s="30"/>
      <c r="N6" t="s">
        <v>152</v>
      </c>
      <c r="X6" t="s">
        <v>55</v>
      </c>
    </row>
    <row r="7" spans="1:31" ht="30" customHeight="1" thickBot="1">
      <c r="A7" s="126" t="s">
        <v>3</v>
      </c>
      <c r="B7" s="20" t="s">
        <v>4</v>
      </c>
      <c r="C7" s="20" t="s">
        <v>5</v>
      </c>
      <c r="D7" s="20" t="s">
        <v>327</v>
      </c>
      <c r="E7" s="20" t="s">
        <v>151</v>
      </c>
      <c r="F7" s="20" t="s">
        <v>12</v>
      </c>
      <c r="G7" s="20" t="s">
        <v>24</v>
      </c>
      <c r="H7" s="20" t="s">
        <v>13</v>
      </c>
      <c r="I7" s="20" t="s">
        <v>66</v>
      </c>
      <c r="J7" s="20" t="s">
        <v>19</v>
      </c>
      <c r="K7" s="20" t="s">
        <v>6</v>
      </c>
      <c r="L7" s="51" t="s">
        <v>72</v>
      </c>
      <c r="M7" s="20" t="s">
        <v>135</v>
      </c>
      <c r="N7" s="1" t="s">
        <v>136</v>
      </c>
      <c r="O7" s="1" t="s">
        <v>137</v>
      </c>
      <c r="P7" s="1" t="s">
        <v>138</v>
      </c>
      <c r="Q7" s="1" t="s">
        <v>139</v>
      </c>
      <c r="R7" s="1" t="s">
        <v>73</v>
      </c>
      <c r="S7" s="53" t="s">
        <v>140</v>
      </c>
      <c r="T7" s="1" t="s">
        <v>74</v>
      </c>
      <c r="U7" s="1" t="s">
        <v>141</v>
      </c>
      <c r="V7" s="1" t="s">
        <v>142</v>
      </c>
      <c r="W7" s="1" t="s">
        <v>143</v>
      </c>
      <c r="X7" s="1" t="s">
        <v>144</v>
      </c>
      <c r="Y7" s="1" t="s">
        <v>145</v>
      </c>
      <c r="Z7" s="1" t="s">
        <v>146</v>
      </c>
      <c r="AA7" s="1" t="s">
        <v>147</v>
      </c>
      <c r="AB7" s="1" t="s">
        <v>148</v>
      </c>
      <c r="AC7" s="1" t="s">
        <v>149</v>
      </c>
      <c r="AD7" s="1" t="s">
        <v>75</v>
      </c>
      <c r="AE7" s="1" t="s">
        <v>150</v>
      </c>
    </row>
    <row r="8" spans="1:31" ht="15">
      <c r="A8" s="56"/>
      <c r="B8" s="57"/>
      <c r="C8" s="69"/>
      <c r="D8" s="34" t="s">
        <v>53</v>
      </c>
      <c r="E8" s="35"/>
      <c r="F8" s="169"/>
      <c r="G8" s="166"/>
      <c r="H8" s="175"/>
      <c r="I8" s="175"/>
      <c r="J8" s="166"/>
      <c r="K8" s="90">
        <f>MAX(L8,N8,P8,R8,T8,V8,X8,Z8,AB8,AD8)</f>
        <v>0</v>
      </c>
      <c r="L8" s="25" t="b">
        <f>IF($E8="50m ",IF($D8="BeF",_xlfn.IFERROR(M8,VLOOKUP(ROUNDUP($F8,1),BeF_Courses!$B$3:$I$52,8,TRUE)-1),M8))</f>
        <v>0</v>
      </c>
      <c r="M8" s="32" t="b">
        <f>IF($E8="50m ",IF($D8="BeF",VLOOKUP($F8,BeF_Courses!$B$3:$I$52,8,FALSE),""))</f>
        <v>0</v>
      </c>
      <c r="N8" s="4" t="b">
        <f>IF($E8="1000m ",IF($D8="BeF",_xlfn.IFERROR(O8,VLOOKUP(ROUNDUP($G8,1),BeF_Courses!$C$3:$I$52,7,TRUE)-1),O8))</f>
        <v>0</v>
      </c>
      <c r="O8" s="4" t="b">
        <f>IF($E8="1000m ",IF($D8="BeF",VLOOKUP($G8,BeF_Courses!$C$3:$I$52,7,FALSE),""))</f>
        <v>0</v>
      </c>
      <c r="P8" s="4" t="b">
        <f>IF($E8="50mH ",IF($D8="BeF",_xlfn.IFERROR(Q8,VLOOKUP(ROUNDUP($H8,1),BeF_Courses!$D$3:$I$52,6,TRUE)-1),Q8))</f>
        <v>0</v>
      </c>
      <c r="Q8" s="4" t="b">
        <f>IF($E8="50mH ",IF($D8="BeF",VLOOKUP($H8,BeF_Courses!$D$3:$I$52,6,FALSE),""))</f>
        <v>0</v>
      </c>
      <c r="R8" s="3" t="b">
        <f>IF($E8="200mH ",IF($D8="BeF",_xlfn.IFERROR(S8,VLOOKUP($I8,BeF_Courses!$E$3:$I$52,5,TRUE)-1),S8))</f>
        <v>0</v>
      </c>
      <c r="S8" s="26" t="str">
        <f>IF($E8="200mH ",IF($D8="BeF",VLOOKUP($I8,BeF_Courses!$E$3:$I$52,5,FALSE),""),"FAUX")</f>
        <v>FAUX</v>
      </c>
      <c r="T8" s="4" t="b">
        <f>IF($E8="2000m Marche ",IF($D8="BeF",_xlfn.IFERROR(U8,VLOOKUP($J8,BeF_Courses!$F$3:$I$52,4,TRUE)-1),U8))</f>
        <v>0</v>
      </c>
      <c r="U8" s="4" t="b">
        <f>IF($E8="2000m Marche ",IF($D8="BeF",VLOOKUP($J8,BeF_Courses!$F$3:$I$52,4,FALSE),""),FALSE)</f>
        <v>0</v>
      </c>
      <c r="V8" s="4" t="b">
        <f>IF($E8="50m ",IF($D8="BeM",_xlfn.IFERROR(W8,VLOOKUP($F8,BeM_Courses!$B$3:$I$52,8,TRUE)-1),W8))</f>
        <v>0</v>
      </c>
      <c r="W8" s="4" t="b">
        <f>IF($E8="50m ",IF($D8="BeM",VLOOKUP($F8,BeM_Courses!$B$3:$I$52,8,FALSE),""),FALSE)</f>
        <v>0</v>
      </c>
      <c r="X8" s="4" t="b">
        <f>IF($E8="1000m ",IF($D8="BeM",_xlfn.IFERROR(Y8,VLOOKUP($G8,BeM_Courses!$C$3:$I$52,7,TRUE)-1),Y8))</f>
        <v>0</v>
      </c>
      <c r="Y8" s="75" t="str">
        <f>IF($E8="1000m ",IF($D8="BeM",VLOOKUP($G8,BeM_Courses!$C$3:$I$52,7,FALSE),""),"FAUX")</f>
        <v>FAUX</v>
      </c>
      <c r="Z8" s="4" t="b">
        <f>IF($E8="50mH ",IF($D8="BeM",_xlfn.IFERROR(AA8,VLOOKUP($H8,BeM_Courses!$D$3:$I$52,6,"VRAI")-1),AA8))</f>
        <v>0</v>
      </c>
      <c r="AA8" s="75" t="str">
        <f>IF($E8="50mH ",IF($D8="BeM",VLOOKUP(H8,BeM_Courses!$D$3:$I$52,6,FALSE),""),"FAUX")</f>
        <v>FAUX</v>
      </c>
      <c r="AB8" s="75" t="str">
        <f>IF($E8="200mH ",IF($D8="BeM",_xlfn.IFERROR(AC8,VLOOKUP($I8,BeM_Courses!$E$3:$I$52,5,TRUE)-1),AC8),"FAUX")</f>
        <v>FAUX</v>
      </c>
      <c r="AC8" s="75" t="str">
        <f>IF($E8="200mH ",IF($D8="BeM",VLOOKUP($I8,BeM_Courses!$E$3:$I$52,5,FALSE),""),"FAUX")</f>
        <v>FAUX</v>
      </c>
      <c r="AD8" s="75" t="str">
        <f>IF($E8="2000m Marche ",IF($D8="BeM",_xlfn.IFERROR(AE8,VLOOKUP($J8,BeM_Courses!$F$3:$I$52,4,TRUE)-1),AE8),"FAUX")</f>
        <v>FAUX</v>
      </c>
      <c r="AE8" s="75" t="str">
        <f>IF($E8="2000m Marche ",IF($D8="BeM",VLOOKUP($J8,BeM_Courses!$F$3:$I$52,4,FALSE),""),"FAUX")</f>
        <v>FAUX</v>
      </c>
    </row>
    <row r="9" spans="1:31" ht="15">
      <c r="A9" s="45"/>
      <c r="B9" s="46"/>
      <c r="C9" s="46"/>
      <c r="D9" s="36" t="s">
        <v>52</v>
      </c>
      <c r="E9" s="37"/>
      <c r="F9" s="171"/>
      <c r="G9" s="167"/>
      <c r="H9" s="176"/>
      <c r="I9" s="176"/>
      <c r="J9" s="167"/>
      <c r="K9" s="82">
        <f aca="true" t="shared" si="0" ref="K9:K38">MAX(L9,N9,P9,R9,T9,V9,X9,Z9,AB9,AD9)</f>
        <v>0</v>
      </c>
      <c r="L9" s="25" t="b">
        <f>IF($E9="50m ",IF($D9="BeF",_xlfn.IFERROR(M9,VLOOKUP(ROUNDUP($F9,1),BeF_Courses!$B$3:$I$52,8,TRUE)-1),M9))</f>
        <v>0</v>
      </c>
      <c r="M9" s="32" t="b">
        <f>IF($E9="50m ",IF($D9="BeF",VLOOKUP($F9,BeF_Courses!$B$3:$I$52,8,FALSE),""))</f>
        <v>0</v>
      </c>
      <c r="N9" s="4" t="b">
        <f>IF($E9="1000m ",IF($D9="BeF",_xlfn.IFERROR(O9,VLOOKUP(ROUNDUP($G9,1),BeF_Courses!$C$3:$I$52,7,TRUE)-1),O9))</f>
        <v>0</v>
      </c>
      <c r="O9" s="4" t="b">
        <f>IF($E9="1000m ",IF($D9="BeF",VLOOKUP($G9,BeF_Courses!$C$3:$I$52,7,FALSE),""))</f>
        <v>0</v>
      </c>
      <c r="P9" s="4" t="b">
        <f>IF($E9="50mH ",IF($D9="BeF",_xlfn.IFERROR(Q9,VLOOKUP(ROUNDUP($H9,1),BeF_Courses!$D$3:$I$52,6,TRUE)-1),Q9))</f>
        <v>0</v>
      </c>
      <c r="Q9" s="4" t="b">
        <f>IF($E9="50mH ",IF($D9="BeF",VLOOKUP($H9,BeF_Courses!$D$3:$I$52,6,FALSE),""))</f>
        <v>0</v>
      </c>
      <c r="R9" s="3" t="b">
        <f>IF($E9="200mH ",IF($D9="BeF",_xlfn.IFERROR(S9,VLOOKUP($I9,BeF_Courses!$E$3:$I$52,5,TRUE)-1),S9))</f>
        <v>0</v>
      </c>
      <c r="S9" s="26" t="str">
        <f>IF($E9="200mH ",IF($D9="BeF",VLOOKUP($I9,BeF_Courses!$E$3:$I$52,5,FALSE),""),"FAUX")</f>
        <v>FAUX</v>
      </c>
      <c r="T9" s="4" t="b">
        <f>IF($E9="2000m Marche ",IF($D9="BeF",_xlfn.IFERROR(U9,VLOOKUP($J9,BeF_Courses!$F$3:$I$52,4,TRUE)-1),U9))</f>
        <v>0</v>
      </c>
      <c r="U9" s="4" t="b">
        <f>IF($E9="2000m Marche ",IF($D9="BeF",VLOOKUP($J9,BeF_Courses!$F$3:$I$52,4,FALSE),""),FALSE)</f>
        <v>0</v>
      </c>
      <c r="V9" s="4" t="b">
        <f>IF($E9="50m ",IF($D9="BeM",_xlfn.IFERROR(W9,VLOOKUP($F9,BeM_Courses!$B$3:$I$52,8,TRUE)-1),W9))</f>
        <v>0</v>
      </c>
      <c r="W9" s="4" t="b">
        <f>IF($E9="50m ",IF($D9="BeM",VLOOKUP($F9,BeM_Courses!$B$3:$I$52,8,FALSE),""),FALSE)</f>
        <v>0</v>
      </c>
      <c r="X9" s="4" t="b">
        <f>IF($E9="1000m ",IF($D9="BeM",_xlfn.IFERROR(Y9,VLOOKUP($G9,BeM_Courses!$C$3:$I$52,7,TRUE)-1),Y9))</f>
        <v>0</v>
      </c>
      <c r="Y9" s="75" t="str">
        <f>IF($E9="1000m ",IF($D9="BeM",VLOOKUP($G9,BeM_Courses!$C$3:$I$52,7,FALSE),""),"FAUX")</f>
        <v>FAUX</v>
      </c>
      <c r="Z9" s="4" t="b">
        <f>IF($E9="50mH ",IF($D9="BeM",_xlfn.IFERROR(AA9,VLOOKUP($H9,BeM_Courses!$D$3:$I$52,6,"VRAI")-1),AA9))</f>
        <v>0</v>
      </c>
      <c r="AA9" s="75" t="str">
        <f>IF($E9="50mH ",IF($D9="BeM",VLOOKUP(H9,BeM_Courses!$D$3:$I$52,6,FALSE),""),"FAUX")</f>
        <v>FAUX</v>
      </c>
      <c r="AB9" s="75" t="str">
        <f>IF($E9="200mH ",IF($D9="BeM",_xlfn.IFERROR(AC9,VLOOKUP($I9,BeM_Courses!$E$3:$I$52,5,TRUE)-1),AC9),"FAUX")</f>
        <v>FAUX</v>
      </c>
      <c r="AC9" s="75" t="str">
        <f>IF($E9="200mH ",IF($D9="BeM",VLOOKUP($I9,BeM_Courses!$E$3:$I$52,5,FALSE),""),"FAUX")</f>
        <v>FAUX</v>
      </c>
      <c r="AD9" s="75" t="str">
        <f>IF($E9="2000m Marche ",IF($D9="BeM",_xlfn.IFERROR(AE9,VLOOKUP($J9,BeM_Courses!$F$3:$I$52,4,TRUE)-1),AE9),"FAUX")</f>
        <v>FAUX</v>
      </c>
      <c r="AE9" s="75" t="str">
        <f>IF($E9="2000m Marche ",IF($D9="BeM",VLOOKUP($J9,BeM_Courses!$F$3:$I$52,4,FALSE),""),"FAUX")</f>
        <v>FAUX</v>
      </c>
    </row>
    <row r="10" spans="1:31" ht="15">
      <c r="A10" s="45"/>
      <c r="B10" s="46"/>
      <c r="C10" s="46"/>
      <c r="D10" s="36" t="s">
        <v>53</v>
      </c>
      <c r="E10" s="37"/>
      <c r="F10" s="171"/>
      <c r="G10" s="167"/>
      <c r="H10" s="176"/>
      <c r="I10" s="176"/>
      <c r="J10" s="167"/>
      <c r="K10" s="82">
        <f t="shared" si="0"/>
        <v>0</v>
      </c>
      <c r="L10" s="25" t="b">
        <f>IF($E10="50m ",IF($D10="BeF",_xlfn.IFERROR(M10,VLOOKUP(ROUNDUP($F10,1),BeF_Courses!$B$3:$I$52,8,TRUE)-1),M10))</f>
        <v>0</v>
      </c>
      <c r="M10" s="32" t="b">
        <f>IF($E10="50m ",IF($D10="BeF",VLOOKUP($F10,BeF_Courses!$B$3:$I$52,8,FALSE),""))</f>
        <v>0</v>
      </c>
      <c r="N10" s="4" t="b">
        <f>IF($E10="1000m ",IF($D10="BeF",_xlfn.IFERROR(O10,VLOOKUP(ROUNDUP($G10,1),BeF_Courses!$C$3:$I$52,7,TRUE)-1),O10))</f>
        <v>0</v>
      </c>
      <c r="O10" s="4" t="b">
        <f>IF($E10="1000m ",IF($D10="BeF",VLOOKUP($G10,BeF_Courses!$C$3:$I$52,7,FALSE),""))</f>
        <v>0</v>
      </c>
      <c r="P10" s="4" t="b">
        <f>IF($E10="50mH ",IF($D10="BeF",_xlfn.IFERROR(Q10,VLOOKUP(ROUNDUP($H10,1),BeF_Courses!$D$3:$I$52,6,TRUE)-1),Q10))</f>
        <v>0</v>
      </c>
      <c r="Q10" s="4" t="b">
        <f>IF($E10="50mH ",IF($D10="BeF",VLOOKUP($H10,BeF_Courses!$D$3:$I$52,6,FALSE),""))</f>
        <v>0</v>
      </c>
      <c r="R10" s="3" t="b">
        <f>IF($E10="200mH ",IF($D10="BeF",_xlfn.IFERROR(S10,VLOOKUP($I10,BeF_Courses!$E$3:$I$52,5,TRUE)-1),S10))</f>
        <v>0</v>
      </c>
      <c r="S10" s="26" t="str">
        <f>IF($E10="200mH ",IF($D10="BeF",VLOOKUP($I10,BeF_Courses!$E$3:$I$52,5,FALSE),""),"FAUX")</f>
        <v>FAUX</v>
      </c>
      <c r="T10" s="4" t="b">
        <f>IF($E10="2000m Marche ",IF($D10="BeF",_xlfn.IFERROR(U10,VLOOKUP($J10,BeF_Courses!$F$3:$I$52,4,TRUE)-1),U10))</f>
        <v>0</v>
      </c>
      <c r="U10" s="4" t="b">
        <f>IF($E10="2000m Marche ",IF($D10="BeF",VLOOKUP($J10,BeF_Courses!$F$3:$I$52,4,FALSE),""),FALSE)</f>
        <v>0</v>
      </c>
      <c r="V10" s="4" t="b">
        <f>IF($E10="50m ",IF($D10="BeM",_xlfn.IFERROR(W10,VLOOKUP($F10,BeM_Courses!$B$3:$I$52,8,TRUE)-1),W10))</f>
        <v>0</v>
      </c>
      <c r="W10" s="4" t="b">
        <f>IF($E10="50m ",IF($D10="BeM",VLOOKUP($F10,BeM_Courses!$B$3:$I$52,8,FALSE),""),FALSE)</f>
        <v>0</v>
      </c>
      <c r="X10" s="4" t="b">
        <f>IF($E10="1000m ",IF($D10="BeM",_xlfn.IFERROR(Y10,VLOOKUP($G10,BeM_Courses!$C$3:$I$52,7,TRUE)-1),Y10))</f>
        <v>0</v>
      </c>
      <c r="Y10" s="75" t="str">
        <f>IF($E10="1000m ",IF($D10="BeM",VLOOKUP($G10,BeM_Courses!$C$3:$I$52,7,FALSE),""),"FAUX")</f>
        <v>FAUX</v>
      </c>
      <c r="Z10" s="4" t="b">
        <f>IF($E10="50mH ",IF($D10="BeM",_xlfn.IFERROR(AA10,VLOOKUP($H10,BeM_Courses!$D$3:$I$52,6,"VRAI")-1),AA10))</f>
        <v>0</v>
      </c>
      <c r="AA10" s="75" t="str">
        <f>IF($E10="50mH ",IF($D10="BeM",VLOOKUP(H10,BeM_Courses!$D$3:$I$52,6,FALSE),""),"FAUX")</f>
        <v>FAUX</v>
      </c>
      <c r="AB10" s="75" t="str">
        <f>IF($E10="200mH ",IF($D10="BeM",_xlfn.IFERROR(AC10,VLOOKUP($I10,BeM_Courses!$E$3:$I$52,5,TRUE)-1),AC10),"FAUX")</f>
        <v>FAUX</v>
      </c>
      <c r="AC10" s="75" t="str">
        <f>IF($E10="200mH ",IF($D10="BeM",VLOOKUP($I10,BeM_Courses!$E$3:$I$52,5,FALSE),""),"FAUX")</f>
        <v>FAUX</v>
      </c>
      <c r="AD10" s="75" t="str">
        <f>IF($E10="2000m Marche ",IF($D10="BeM",_xlfn.IFERROR(AE10,VLOOKUP($J10,BeM_Courses!$F$3:$I$52,4,TRUE)-1),AE10),"FAUX")</f>
        <v>FAUX</v>
      </c>
      <c r="AE10" s="75" t="str">
        <f>IF($E10="2000m Marche ",IF($D10="BeM",VLOOKUP($J10,BeM_Courses!$F$3:$I$52,4,FALSE),""),"FAUX")</f>
        <v>FAUX</v>
      </c>
    </row>
    <row r="11" spans="1:31" ht="15">
      <c r="A11" s="45"/>
      <c r="B11" s="46"/>
      <c r="C11" s="46"/>
      <c r="D11" s="36" t="s">
        <v>52</v>
      </c>
      <c r="E11" s="37"/>
      <c r="F11" s="171"/>
      <c r="G11" s="167"/>
      <c r="H11" s="176"/>
      <c r="I11" s="176"/>
      <c r="J11" s="167"/>
      <c r="K11" s="82">
        <f t="shared" si="0"/>
        <v>0</v>
      </c>
      <c r="L11" s="25" t="b">
        <f>IF($E11="50m ",IF($D11="BeF",_xlfn.IFERROR(M11,VLOOKUP(ROUNDUP($F11,1),BeF_Courses!$B$3:$I$52,8,TRUE)-1),M11))</f>
        <v>0</v>
      </c>
      <c r="M11" s="32" t="b">
        <f>IF($E11="50m ",IF($D11="BeF",VLOOKUP($F11,BeF_Courses!$B$3:$I$52,8,FALSE),""))</f>
        <v>0</v>
      </c>
      <c r="N11" s="4" t="b">
        <f>IF($E11="1000m ",IF($D11="BeF",_xlfn.IFERROR(O11,VLOOKUP(ROUNDUP($G11,1),BeF_Courses!$C$3:$I$52,7,TRUE)-1),O11))</f>
        <v>0</v>
      </c>
      <c r="O11" s="4" t="b">
        <f>IF($E11="1000m ",IF($D11="BeF",VLOOKUP($G11,BeF_Courses!$C$3:$I$52,7,FALSE),""))</f>
        <v>0</v>
      </c>
      <c r="P11" s="4" t="b">
        <f>IF($E11="50mH ",IF($D11="BeF",_xlfn.IFERROR(Q11,VLOOKUP(ROUNDUP($H11,1),BeF_Courses!$D$3:$I$52,6,TRUE)-1),Q11))</f>
        <v>0</v>
      </c>
      <c r="Q11" s="4" t="b">
        <f>IF($E11="50mH ",IF($D11="BeF",VLOOKUP($H11,BeF_Courses!$D$3:$I$52,6,FALSE),""))</f>
        <v>0</v>
      </c>
      <c r="R11" s="3" t="b">
        <f>IF($E11="200mH ",IF($D11="BeF",_xlfn.IFERROR(S11,VLOOKUP($I11,BeF_Courses!$E$3:$I$52,5,TRUE)-1),S11))</f>
        <v>0</v>
      </c>
      <c r="S11" s="26" t="str">
        <f>IF($E11="200mH ",IF($D11="BeF",VLOOKUP($I11,BeF_Courses!$E$3:$I$52,5,FALSE),""),"FAUX")</f>
        <v>FAUX</v>
      </c>
      <c r="T11" s="4" t="b">
        <f>IF($E11="2000m Marche ",IF($D11="BeF",_xlfn.IFERROR(U11,VLOOKUP($J11,BeF_Courses!$F$3:$I$52,4,TRUE)-1),U11))</f>
        <v>0</v>
      </c>
      <c r="U11" s="4" t="b">
        <f>IF($E11="2000m Marche ",IF($D11="BeF",VLOOKUP($J11,BeF_Courses!$F$3:$I$52,4,FALSE),""),FALSE)</f>
        <v>0</v>
      </c>
      <c r="V11" s="4" t="b">
        <f>IF($E11="50m ",IF($D11="BeM",_xlfn.IFERROR(W11,VLOOKUP($F11,BeM_Courses!$B$3:$I$52,8,TRUE)-1),W11))</f>
        <v>0</v>
      </c>
      <c r="W11" s="4" t="b">
        <f>IF($E11="50m ",IF($D11="BeM",VLOOKUP($F11,BeM_Courses!$B$3:$I$52,8,FALSE),""),FALSE)</f>
        <v>0</v>
      </c>
      <c r="X11" s="4" t="b">
        <f>IF($E11="1000m ",IF($D11="BeM",_xlfn.IFERROR(Y11,VLOOKUP($G11,BeM_Courses!$C$3:$I$52,7,TRUE)-1),Y11))</f>
        <v>0</v>
      </c>
      <c r="Y11" s="75" t="str">
        <f>IF($E11="1000m ",IF($D11="BeM",VLOOKUP($G11,BeM_Courses!$C$3:$I$52,7,FALSE),""),"FAUX")</f>
        <v>FAUX</v>
      </c>
      <c r="Z11" s="4" t="b">
        <f>IF($E11="50mH ",IF($D11="BeM",_xlfn.IFERROR(AA11,VLOOKUP($H11,BeM_Courses!$D$3:$I$52,6,"VRAI")-1),AA11))</f>
        <v>0</v>
      </c>
      <c r="AA11" s="75" t="str">
        <f>IF($E11="50mH ",IF($D11="BeM",VLOOKUP(H11,BeM_Courses!$D$3:$I$52,6,FALSE),""),"FAUX")</f>
        <v>FAUX</v>
      </c>
      <c r="AB11" s="75" t="str">
        <f>IF($E11="200mH ",IF($D11="BeM",_xlfn.IFERROR(AC11,VLOOKUP($I11,BeM_Courses!$E$3:$I$52,5,TRUE)-1),AC11),"FAUX")</f>
        <v>FAUX</v>
      </c>
      <c r="AC11" s="75" t="str">
        <f>IF($E11="200mH ",IF($D11="BeM",VLOOKUP($I11,BeM_Courses!$E$3:$I$52,5,FALSE),""),"FAUX")</f>
        <v>FAUX</v>
      </c>
      <c r="AD11" s="75" t="str">
        <f>IF($E11="2000m Marche ",IF($D11="BeM",_xlfn.IFERROR(AE11,VLOOKUP($J11,BeM_Courses!$F$3:$I$52,4,TRUE)-1),AE11),"FAUX")</f>
        <v>FAUX</v>
      </c>
      <c r="AE11" s="75" t="str">
        <f>IF($E11="2000m Marche ",IF($D11="BeM",VLOOKUP($J11,BeM_Courses!$F$3:$I$52,4,FALSE),""),"FAUX")</f>
        <v>FAUX</v>
      </c>
    </row>
    <row r="12" spans="1:31" ht="15">
      <c r="A12" s="45"/>
      <c r="B12" s="46"/>
      <c r="C12" s="46"/>
      <c r="D12" s="36" t="s">
        <v>53</v>
      </c>
      <c r="E12" s="37"/>
      <c r="F12" s="171"/>
      <c r="G12" s="167"/>
      <c r="H12" s="176"/>
      <c r="I12" s="176"/>
      <c r="J12" s="167"/>
      <c r="K12" s="82">
        <f t="shared" si="0"/>
        <v>0</v>
      </c>
      <c r="L12" s="25" t="b">
        <f>IF($E12="50m ",IF($D12="BeF",_xlfn.IFERROR(M12,VLOOKUP(ROUNDUP($F12,1),BeF_Courses!$B$3:$I$52,8,TRUE)-1),M12))</f>
        <v>0</v>
      </c>
      <c r="M12" s="32" t="b">
        <f>IF($E12="50m ",IF($D12="BeF",VLOOKUP($F12,BeF_Courses!$B$3:$I$52,8,FALSE),""))</f>
        <v>0</v>
      </c>
      <c r="N12" s="4" t="b">
        <f>IF($E12="1000m ",IF($D12="BeF",_xlfn.IFERROR(O12,VLOOKUP(ROUNDUP($G12,1),BeF_Courses!$C$3:$I$52,7,TRUE)-1),O12))</f>
        <v>0</v>
      </c>
      <c r="O12" s="4" t="b">
        <f>IF($E12="1000m ",IF($D12="BeF",VLOOKUP($G12,BeF_Courses!$C$3:$I$52,7,FALSE),""))</f>
        <v>0</v>
      </c>
      <c r="P12" s="4" t="b">
        <f>IF($E12="50mH ",IF($D12="BeF",_xlfn.IFERROR(Q12,VLOOKUP(ROUNDUP($H12,1),BeF_Courses!$D$3:$I$52,6,TRUE)-1),Q12))</f>
        <v>0</v>
      </c>
      <c r="Q12" s="4" t="b">
        <f>IF($E12="50mH ",IF($D12="BeF",VLOOKUP($H12,BeF_Courses!$D$3:$I$52,6,FALSE),""))</f>
        <v>0</v>
      </c>
      <c r="R12" s="3" t="b">
        <f>IF($E12="200mH ",IF($D12="BeF",_xlfn.IFERROR(S12,VLOOKUP($I12,BeF_Courses!$E$3:$I$52,5,TRUE)-1),S12))</f>
        <v>0</v>
      </c>
      <c r="S12" s="26" t="str">
        <f>IF($E12="200mH ",IF($D12="BeF",VLOOKUP($I12,BeF_Courses!$E$3:$I$52,5,FALSE),""),"FAUX")</f>
        <v>FAUX</v>
      </c>
      <c r="T12" s="4" t="b">
        <f>IF($E12="2000m Marche ",IF($D12="BeF",_xlfn.IFERROR(U12,VLOOKUP($J12,BeF_Courses!$F$3:$I$52,4,TRUE)-1),U12))</f>
        <v>0</v>
      </c>
      <c r="U12" s="4" t="b">
        <f>IF($E12="2000m Marche ",IF($D12="BeF",VLOOKUP($J12,BeF_Courses!$F$3:$I$52,4,FALSE),""),FALSE)</f>
        <v>0</v>
      </c>
      <c r="V12" s="4" t="b">
        <f>IF($E12="50m ",IF($D12="BeM",_xlfn.IFERROR(W12,VLOOKUP($F12,BeM_Courses!$B$3:$I$52,8,TRUE)-1),W12))</f>
        <v>0</v>
      </c>
      <c r="W12" s="4" t="b">
        <f>IF($E12="50m ",IF($D12="BeM",VLOOKUP($F12,BeM_Courses!$B$3:$I$52,8,FALSE),""),FALSE)</f>
        <v>0</v>
      </c>
      <c r="X12" s="4" t="b">
        <f>IF($E12="1000m ",IF($D12="BeM",_xlfn.IFERROR(Y12,VLOOKUP($G12,BeM_Courses!$C$3:$I$52,7,TRUE)-1),Y12))</f>
        <v>0</v>
      </c>
      <c r="Y12" s="75" t="str">
        <f>IF($E12="1000m ",IF($D12="BeM",VLOOKUP($G12,BeM_Courses!$C$3:$I$52,7,FALSE),""),"FAUX")</f>
        <v>FAUX</v>
      </c>
      <c r="Z12" s="4" t="b">
        <f>IF($E12="50mH ",IF($D12="BeM",_xlfn.IFERROR(AA12,VLOOKUP($H12,BeM_Courses!$D$3:$I$52,6,"VRAI")-1),AA12))</f>
        <v>0</v>
      </c>
      <c r="AA12" s="75" t="str">
        <f>IF($E12="50mH ",IF($D12="BeM",VLOOKUP(H12,BeM_Courses!$D$3:$I$52,6,FALSE),""),"FAUX")</f>
        <v>FAUX</v>
      </c>
      <c r="AB12" s="75" t="str">
        <f>IF($E12="200mH ",IF($D12="BeM",_xlfn.IFERROR(AC12,VLOOKUP($I12,BeM_Courses!$E$3:$I$52,5,TRUE)-1),AC12),"FAUX")</f>
        <v>FAUX</v>
      </c>
      <c r="AC12" s="75" t="str">
        <f>IF($E12="200mH ",IF($D12="BeM",VLOOKUP($I12,BeM_Courses!$E$3:$I$52,5,FALSE),""),"FAUX")</f>
        <v>FAUX</v>
      </c>
      <c r="AD12" s="75" t="str">
        <f>IF($E12="2000m Marche ",IF($D12="BeM",_xlfn.IFERROR(AE12,VLOOKUP($J12,BeM_Courses!$F$3:$I$52,4,TRUE)-1),AE12),"FAUX")</f>
        <v>FAUX</v>
      </c>
      <c r="AE12" s="75" t="str">
        <f>IF($E12="2000m Marche ",IF($D12="BeM",VLOOKUP($J12,BeM_Courses!$F$3:$I$52,4,FALSE),""),"FAUX")</f>
        <v>FAUX</v>
      </c>
    </row>
    <row r="13" spans="1:31" ht="15">
      <c r="A13" s="60"/>
      <c r="B13" s="46"/>
      <c r="C13" s="70"/>
      <c r="D13" s="36" t="s">
        <v>52</v>
      </c>
      <c r="E13" s="37"/>
      <c r="F13" s="171"/>
      <c r="G13" s="167"/>
      <c r="H13" s="176"/>
      <c r="I13" s="176"/>
      <c r="J13" s="167"/>
      <c r="K13" s="82">
        <f t="shared" si="0"/>
        <v>0</v>
      </c>
      <c r="L13" s="25" t="b">
        <f>IF($E13="50m ",IF($D13="BeF",_xlfn.IFERROR(M13,VLOOKUP(ROUNDUP($F13,1),BeF_Courses!$B$3:$I$52,8,TRUE)-1),M13))</f>
        <v>0</v>
      </c>
      <c r="M13" s="32" t="b">
        <f>IF($E13="50m ",IF($D13="BeF",VLOOKUP($F13,BeF_Courses!$B$3:$I$52,8,FALSE),""))</f>
        <v>0</v>
      </c>
      <c r="N13" s="4" t="b">
        <f>IF($E13="1000m ",IF($D13="BeF",_xlfn.IFERROR(O13,VLOOKUP(ROUNDUP($G13,1),BeF_Courses!$C$3:$I$52,7,TRUE)-1),O13))</f>
        <v>0</v>
      </c>
      <c r="O13" s="4" t="b">
        <f>IF($E13="1000m ",IF($D13="BeF",VLOOKUP($G13,BeF_Courses!$C$3:$I$52,7,FALSE),""))</f>
        <v>0</v>
      </c>
      <c r="P13" s="4" t="b">
        <f>IF($E13="50mH ",IF($D13="BeF",_xlfn.IFERROR(Q13,VLOOKUP(ROUNDUP($H13,1),BeF_Courses!$D$3:$I$52,6,TRUE)-1),Q13))</f>
        <v>0</v>
      </c>
      <c r="Q13" s="4" t="b">
        <f>IF($E13="50mH ",IF($D13="BeF",VLOOKUP($H13,BeF_Courses!$D$3:$I$52,6,FALSE),""))</f>
        <v>0</v>
      </c>
      <c r="R13" s="3" t="b">
        <f>IF($E13="200mH ",IF($D13="BeF",_xlfn.IFERROR(S13,VLOOKUP($I13,BeF_Courses!$E$3:$I$52,5,TRUE)-1),S13))</f>
        <v>0</v>
      </c>
      <c r="S13" s="26" t="str">
        <f>IF($E13="200mH ",IF($D13="BeF",VLOOKUP($I13,BeF_Courses!$E$3:$I$52,5,FALSE),""),"FAUX")</f>
        <v>FAUX</v>
      </c>
      <c r="T13" s="4" t="b">
        <f>IF($E13="2000m Marche ",IF($D13="BeF",_xlfn.IFERROR(U13,VLOOKUP($J13,BeF_Courses!$F$3:$I$52,4,TRUE)-1),U13))</f>
        <v>0</v>
      </c>
      <c r="U13" s="4" t="b">
        <f>IF($E13="2000m Marche ",IF($D13="BeF",VLOOKUP($J13,BeF_Courses!$F$3:$I$52,4,FALSE),""),FALSE)</f>
        <v>0</v>
      </c>
      <c r="V13" s="4" t="b">
        <f>IF($E13="50m ",IF($D13="BeM",_xlfn.IFERROR(W13,VLOOKUP($F13,BeM_Courses!$B$3:$I$52,8,TRUE)-1),W13))</f>
        <v>0</v>
      </c>
      <c r="W13" s="4" t="b">
        <f>IF($E13="50m ",IF($D13="BeM",VLOOKUP($F13,BeM_Courses!$B$3:$I$52,8,FALSE),""),FALSE)</f>
        <v>0</v>
      </c>
      <c r="X13" s="4" t="b">
        <f>IF($E13="1000m ",IF($D13="BeM",_xlfn.IFERROR(Y13,VLOOKUP($G13,BeM_Courses!$C$3:$I$52,7,TRUE)-1),Y13))</f>
        <v>0</v>
      </c>
      <c r="Y13" s="75" t="str">
        <f>IF($E13="1000m ",IF($D13="BeM",VLOOKUP($G13,BeM_Courses!$C$3:$I$52,7,FALSE),""),"FAUX")</f>
        <v>FAUX</v>
      </c>
      <c r="Z13" s="4" t="b">
        <f>IF($E13="50mH ",IF($D13="BeM",_xlfn.IFERROR(AA13,VLOOKUP($H13,BeM_Courses!$D$3:$I$52,6,"VRAI")-1),AA13))</f>
        <v>0</v>
      </c>
      <c r="AA13" s="75" t="str">
        <f>IF($E13="50mH ",IF($D13="BeM",VLOOKUP(H13,BeM_Courses!$D$3:$I$52,6,FALSE),""),"FAUX")</f>
        <v>FAUX</v>
      </c>
      <c r="AB13" s="75" t="str">
        <f>IF($E13="200mH ",IF($D13="BeM",_xlfn.IFERROR(AC13,VLOOKUP($I13,BeM_Courses!$E$3:$I$52,5,TRUE)-1),AC13),"FAUX")</f>
        <v>FAUX</v>
      </c>
      <c r="AC13" s="75" t="str">
        <f>IF($E13="200mH ",IF($D13="BeM",VLOOKUP($I13,BeM_Courses!$E$3:$I$52,5,FALSE),""),"FAUX")</f>
        <v>FAUX</v>
      </c>
      <c r="AD13" s="75" t="str">
        <f>IF($E13="2000m Marche ",IF($D13="BeM",_xlfn.IFERROR(AE13,VLOOKUP($J13,BeM_Courses!$F$3:$I$52,4,TRUE)-1),AE13),"FAUX")</f>
        <v>FAUX</v>
      </c>
      <c r="AE13" s="75" t="str">
        <f>IF($E13="2000m Marche ",IF($D13="BeM",VLOOKUP($J13,BeM_Courses!$F$3:$I$52,4,FALSE),""),"FAUX")</f>
        <v>FAUX</v>
      </c>
    </row>
    <row r="14" spans="1:31" ht="15">
      <c r="A14" s="60"/>
      <c r="B14" s="46"/>
      <c r="C14" s="70"/>
      <c r="D14" s="36" t="s">
        <v>52</v>
      </c>
      <c r="E14" s="37"/>
      <c r="F14" s="171"/>
      <c r="G14" s="167"/>
      <c r="H14" s="176"/>
      <c r="I14" s="176"/>
      <c r="J14" s="167"/>
      <c r="K14" s="82">
        <f t="shared" si="0"/>
        <v>0</v>
      </c>
      <c r="L14" s="25" t="b">
        <f>IF($E14="50m ",IF($D14="BeF",_xlfn.IFERROR(M14,VLOOKUP(ROUNDUP($F14,1),BeF_Courses!$B$3:$I$52,8,TRUE)-1),M14))</f>
        <v>0</v>
      </c>
      <c r="M14" s="32" t="b">
        <f>IF($E14="50m ",IF($D14="BeF",VLOOKUP($F14,BeF_Courses!$B$3:$I$52,8,FALSE),""))</f>
        <v>0</v>
      </c>
      <c r="N14" s="4" t="b">
        <f>IF($E14="1000m ",IF($D14="BeF",_xlfn.IFERROR(O14,VLOOKUP(ROUNDUP($G14,1),BeF_Courses!$C$3:$I$52,7,TRUE)-1),O14))</f>
        <v>0</v>
      </c>
      <c r="O14" s="4" t="b">
        <f>IF($E14="1000m ",IF($D14="BeF",VLOOKUP($G14,BeF_Courses!$C$3:$I$52,7,FALSE),""))</f>
        <v>0</v>
      </c>
      <c r="P14" s="4" t="b">
        <f>IF($E14="50mH ",IF($D14="BeF",_xlfn.IFERROR(Q14,VLOOKUP(ROUNDUP($H14,1),BeF_Courses!$D$3:$I$52,6,TRUE)-1),Q14))</f>
        <v>0</v>
      </c>
      <c r="Q14" s="4" t="b">
        <f>IF($E14="50mH ",IF($D14="BeF",VLOOKUP($H14,BeF_Courses!$D$3:$I$52,6,FALSE),""))</f>
        <v>0</v>
      </c>
      <c r="R14" s="3" t="b">
        <f>IF($E14="200mH ",IF($D14="BeF",_xlfn.IFERROR(S14,VLOOKUP($I14,BeF_Courses!$E$3:$I$52,5,TRUE)-1),S14))</f>
        <v>0</v>
      </c>
      <c r="S14" s="26" t="str">
        <f>IF($E14="200mH ",IF($D14="BeF",VLOOKUP($I14,BeF_Courses!$E$3:$I$52,5,FALSE),""),"FAUX")</f>
        <v>FAUX</v>
      </c>
      <c r="T14" s="4" t="b">
        <f>IF($E14="2000m Marche ",IF($D14="BeF",_xlfn.IFERROR(U14,VLOOKUP($J14,BeF_Courses!$F$3:$I$52,4,TRUE)-1),U14))</f>
        <v>0</v>
      </c>
      <c r="U14" s="4" t="b">
        <f>IF($E14="2000m Marche ",IF($D14="BeF",VLOOKUP($J14,BeF_Courses!$F$3:$I$52,4,FALSE),""),FALSE)</f>
        <v>0</v>
      </c>
      <c r="V14" s="4" t="b">
        <f>IF($E14="50m ",IF($D14="BeM",_xlfn.IFERROR(W14,VLOOKUP($F14,BeM_Courses!$B$3:$I$52,8,TRUE)-1),W14))</f>
        <v>0</v>
      </c>
      <c r="W14" s="4" t="b">
        <f>IF($E14="50m ",IF($D14="BeM",VLOOKUP($F14,BeM_Courses!$B$3:$I$52,8,FALSE),""),FALSE)</f>
        <v>0</v>
      </c>
      <c r="X14" s="4" t="b">
        <f>IF($E14="1000m ",IF($D14="BeM",_xlfn.IFERROR(Y14,VLOOKUP($G14,BeM_Courses!$C$3:$I$52,7,TRUE)-1),Y14))</f>
        <v>0</v>
      </c>
      <c r="Y14" s="75" t="str">
        <f>IF($E14="1000m ",IF($D14="BeM",VLOOKUP($G14,BeM_Courses!$C$3:$I$52,7,FALSE),""),"FAUX")</f>
        <v>FAUX</v>
      </c>
      <c r="Z14" s="4" t="b">
        <f>IF($E14="50mH ",IF($D14="BeM",_xlfn.IFERROR(AA14,VLOOKUP($H14,BeM_Courses!$D$3:$I$52,6,"VRAI")-1),AA14))</f>
        <v>0</v>
      </c>
      <c r="AA14" s="75" t="str">
        <f>IF($E14="50mH ",IF($D14="BeM",VLOOKUP(H14,BeM_Courses!$D$3:$I$52,6,FALSE),""),"FAUX")</f>
        <v>FAUX</v>
      </c>
      <c r="AB14" s="75" t="str">
        <f>IF($E14="200mH ",IF($D14="BeM",_xlfn.IFERROR(AC14,VLOOKUP($I14,BeM_Courses!$E$3:$I$52,5,TRUE)-1),AC14),"FAUX")</f>
        <v>FAUX</v>
      </c>
      <c r="AC14" s="75" t="str">
        <f>IF($E14="200mH ",IF($D14="BeM",VLOOKUP($I14,BeM_Courses!$E$3:$I$52,5,FALSE),""),"FAUX")</f>
        <v>FAUX</v>
      </c>
      <c r="AD14" s="75" t="str">
        <f>IF($E14="2000m Marche ",IF($D14="BeM",_xlfn.IFERROR(AE14,VLOOKUP($J14,BeM_Courses!$F$3:$I$52,4,TRUE)-1),AE14),"FAUX")</f>
        <v>FAUX</v>
      </c>
      <c r="AE14" s="75" t="str">
        <f>IF($E14="2000m Marche ",IF($D14="BeM",VLOOKUP($J14,BeM_Courses!$F$3:$I$52,4,FALSE),""),"FAUX")</f>
        <v>FAUX</v>
      </c>
    </row>
    <row r="15" spans="1:31" ht="15">
      <c r="A15" s="60"/>
      <c r="B15" s="46"/>
      <c r="C15" s="70"/>
      <c r="D15" s="36" t="s">
        <v>52</v>
      </c>
      <c r="E15" s="37"/>
      <c r="F15" s="171"/>
      <c r="G15" s="167"/>
      <c r="H15" s="176"/>
      <c r="I15" s="176"/>
      <c r="J15" s="167"/>
      <c r="K15" s="82">
        <f t="shared" si="0"/>
        <v>0</v>
      </c>
      <c r="L15" s="25" t="b">
        <f>IF($E15="50m ",IF($D15="BeF",_xlfn.IFERROR(M15,VLOOKUP(ROUNDUP($F15,1),BeF_Courses!$B$3:$I$52,8,TRUE)-1),M15))</f>
        <v>0</v>
      </c>
      <c r="M15" s="32" t="b">
        <f>IF($E15="50m ",IF($D15="BeF",VLOOKUP($F15,BeF_Courses!$B$3:$I$52,8,FALSE),""))</f>
        <v>0</v>
      </c>
      <c r="N15" s="4" t="b">
        <f>IF($E15="1000m ",IF($D15="BeF",_xlfn.IFERROR(O15,VLOOKUP(ROUNDUP($G15,1),BeF_Courses!$C$3:$I$52,7,TRUE)-1),O15))</f>
        <v>0</v>
      </c>
      <c r="O15" s="4" t="b">
        <f>IF($E15="1000m ",IF($D15="BeF",VLOOKUP($G15,BeF_Courses!$C$3:$I$52,7,FALSE),""))</f>
        <v>0</v>
      </c>
      <c r="P15" s="4" t="b">
        <f>IF($E15="50mH ",IF($D15="BeF",_xlfn.IFERROR(Q15,VLOOKUP(ROUNDUP($H15,1),BeF_Courses!$D$3:$I$52,6,TRUE)-1),Q15))</f>
        <v>0</v>
      </c>
      <c r="Q15" s="4" t="b">
        <f>IF($E15="50mH ",IF($D15="BeF",VLOOKUP($H15,BeF_Courses!$D$3:$I$52,6,FALSE),""))</f>
        <v>0</v>
      </c>
      <c r="R15" s="3" t="b">
        <f>IF($E15="200mH ",IF($D15="BeF",_xlfn.IFERROR(S15,VLOOKUP($I15,BeF_Courses!$E$3:$I$52,5,TRUE)-1),S15))</f>
        <v>0</v>
      </c>
      <c r="S15" s="26" t="str">
        <f>IF($E15="200mH ",IF($D15="BeF",VLOOKUP($I15,BeF_Courses!$E$3:$I$52,5,FALSE),""),"FAUX")</f>
        <v>FAUX</v>
      </c>
      <c r="T15" s="4" t="b">
        <f>IF($E15="2000m Marche ",IF($D15="BeF",_xlfn.IFERROR(U15,VLOOKUP($J15,BeF_Courses!$F$3:$I$52,4,TRUE)-1),U15))</f>
        <v>0</v>
      </c>
      <c r="U15" s="4" t="b">
        <f>IF($E15="2000m Marche ",IF($D15="BeF",VLOOKUP($J15,BeF_Courses!$F$3:$I$52,4,FALSE),""),FALSE)</f>
        <v>0</v>
      </c>
      <c r="V15" s="4" t="b">
        <f>IF($E15="50m ",IF($D15="BeM",_xlfn.IFERROR(W15,VLOOKUP($F15,BeM_Courses!$B$3:$I$52,8,TRUE)-1),W15))</f>
        <v>0</v>
      </c>
      <c r="W15" s="4" t="b">
        <f>IF($E15="50m ",IF($D15="BeM",VLOOKUP($F15,BeM_Courses!$B$3:$I$52,8,FALSE),""),FALSE)</f>
        <v>0</v>
      </c>
      <c r="X15" s="4" t="b">
        <f>IF($E15="1000m ",IF($D15="BeM",_xlfn.IFERROR(Y15,VLOOKUP($G15,BeM_Courses!$C$3:$I$52,7,TRUE)-1),Y15))</f>
        <v>0</v>
      </c>
      <c r="Y15" s="75" t="str">
        <f>IF($E15="1000m ",IF($D15="BeM",VLOOKUP($G15,BeM_Courses!$C$3:$I$52,7,FALSE),""),"FAUX")</f>
        <v>FAUX</v>
      </c>
      <c r="Z15" s="4" t="b">
        <f>IF($E15="50mH ",IF($D15="BeM",_xlfn.IFERROR(AA15,VLOOKUP($H15,BeM_Courses!$D$3:$I$52,6,"VRAI")-1),AA15))</f>
        <v>0</v>
      </c>
      <c r="AA15" s="75" t="str">
        <f>IF($E15="50mH ",IF($D15="BeM",VLOOKUP(H15,BeM_Courses!$D$3:$I$52,6,FALSE),""),"FAUX")</f>
        <v>FAUX</v>
      </c>
      <c r="AB15" s="75" t="str">
        <f>IF($E15="200mH ",IF($D15="BeM",_xlfn.IFERROR(AC15,VLOOKUP($I15,BeM_Courses!$E$3:$I$52,5,TRUE)-1),AC15),"FAUX")</f>
        <v>FAUX</v>
      </c>
      <c r="AC15" s="75" t="str">
        <f>IF($E15="200mH ",IF($D15="BeM",VLOOKUP($I15,BeM_Courses!$E$3:$I$52,5,FALSE),""),"FAUX")</f>
        <v>FAUX</v>
      </c>
      <c r="AD15" s="75" t="str">
        <f>IF($E15="2000m Marche ",IF($D15="BeM",_xlfn.IFERROR(AE15,VLOOKUP($J15,BeM_Courses!$F$3:$I$52,4,TRUE)-1),AE15),"FAUX")</f>
        <v>FAUX</v>
      </c>
      <c r="AE15" s="75" t="str">
        <f>IF($E15="2000m Marche ",IF($D15="BeM",VLOOKUP($J15,BeM_Courses!$F$3:$I$52,4,FALSE),""),"FAUX")</f>
        <v>FAUX</v>
      </c>
    </row>
    <row r="16" spans="1:31" ht="15">
      <c r="A16" s="60"/>
      <c r="B16" s="46"/>
      <c r="C16" s="70"/>
      <c r="D16" s="36" t="s">
        <v>52</v>
      </c>
      <c r="E16" s="37"/>
      <c r="F16" s="171"/>
      <c r="G16" s="167"/>
      <c r="H16" s="176"/>
      <c r="I16" s="176"/>
      <c r="J16" s="167"/>
      <c r="K16" s="82">
        <f t="shared" si="0"/>
        <v>0</v>
      </c>
      <c r="L16" s="25" t="b">
        <f>IF($E16="50m ",IF($D16="BeF",_xlfn.IFERROR(M16,VLOOKUP(ROUNDUP($F16,1),BeF_Courses!$B$3:$I$52,8,TRUE)-1),M16))</f>
        <v>0</v>
      </c>
      <c r="M16" s="32" t="b">
        <f>IF($E16="50m ",IF($D16="BeF",VLOOKUP($F16,BeF_Courses!$B$3:$I$52,8,FALSE),""))</f>
        <v>0</v>
      </c>
      <c r="N16" s="4" t="b">
        <f>IF($E16="1000m ",IF($D16="BeF",_xlfn.IFERROR(O16,VLOOKUP(ROUNDUP($G16,1),BeF_Courses!$C$3:$I$52,7,TRUE)-1),O16))</f>
        <v>0</v>
      </c>
      <c r="O16" s="4" t="b">
        <f>IF($E16="1000m ",IF($D16="BeF",VLOOKUP($G16,BeF_Courses!$C$3:$I$52,7,FALSE),""))</f>
        <v>0</v>
      </c>
      <c r="P16" s="4" t="b">
        <f>IF($E16="50mH ",IF($D16="BeF",_xlfn.IFERROR(Q16,VLOOKUP(ROUNDUP($H16,1),BeF_Courses!$D$3:$I$52,6,TRUE)-1),Q16))</f>
        <v>0</v>
      </c>
      <c r="Q16" s="4" t="b">
        <f>IF($E16="50mH ",IF($D16="BeF",VLOOKUP($H16,BeF_Courses!$D$3:$I$52,6,FALSE),""))</f>
        <v>0</v>
      </c>
      <c r="R16" s="3" t="b">
        <f>IF($E16="200mH ",IF($D16="BeF",_xlfn.IFERROR(S16,VLOOKUP($I16,BeF_Courses!$E$3:$I$52,5,TRUE)-1),S16))</f>
        <v>0</v>
      </c>
      <c r="S16" s="26" t="str">
        <f>IF($E16="200mH ",IF($D16="BeF",VLOOKUP($I16,BeF_Courses!$E$3:$I$52,5,FALSE),""),"FAUX")</f>
        <v>FAUX</v>
      </c>
      <c r="T16" s="4" t="b">
        <f>IF($E16="2000m Marche ",IF($D16="BeF",_xlfn.IFERROR(U16,VLOOKUP($J16,BeF_Courses!$F$3:$I$52,4,TRUE)-1),U16))</f>
        <v>0</v>
      </c>
      <c r="U16" s="4" t="b">
        <f>IF($E16="2000m Marche ",IF($D16="BeF",VLOOKUP($J16,BeF_Courses!$F$3:$I$52,4,FALSE),""),FALSE)</f>
        <v>0</v>
      </c>
      <c r="V16" s="4" t="b">
        <f>IF($E16="50m ",IF($D16="BeM",_xlfn.IFERROR(W16,VLOOKUP($F16,BeM_Courses!$B$3:$I$52,8,TRUE)-1),W16))</f>
        <v>0</v>
      </c>
      <c r="W16" s="4" t="b">
        <f>IF($E16="50m ",IF($D16="BeM",VLOOKUP($F16,BeM_Courses!$B$3:$I$52,8,FALSE),""),FALSE)</f>
        <v>0</v>
      </c>
      <c r="X16" s="4" t="b">
        <f>IF($E16="1000m ",IF($D16="BeM",_xlfn.IFERROR(Y16,VLOOKUP($G16,BeM_Courses!$C$3:$I$52,7,TRUE)-1),Y16))</f>
        <v>0</v>
      </c>
      <c r="Y16" s="75" t="str">
        <f>IF($E16="1000m ",IF($D16="BeM",VLOOKUP($G16,BeM_Courses!$C$3:$I$52,7,FALSE),""),"FAUX")</f>
        <v>FAUX</v>
      </c>
      <c r="Z16" s="4" t="b">
        <f>IF($E16="50mH ",IF($D16="BeM",_xlfn.IFERROR(AA16,VLOOKUP($H16,BeM_Courses!$D$3:$I$52,6,"VRAI")-1),AA16))</f>
        <v>0</v>
      </c>
      <c r="AA16" s="75" t="str">
        <f>IF($E16="50mH ",IF($D16="BeM",VLOOKUP(H16,BeM_Courses!$D$3:$I$52,6,FALSE),""),"FAUX")</f>
        <v>FAUX</v>
      </c>
      <c r="AB16" s="75" t="str">
        <f>IF($E16="200mH ",IF($D16="BeM",_xlfn.IFERROR(AC16,VLOOKUP($I16,BeM_Courses!$E$3:$I$52,5,TRUE)-1),AC16),"FAUX")</f>
        <v>FAUX</v>
      </c>
      <c r="AC16" s="75" t="str">
        <f>IF($E16="200mH ",IF($D16="BeM",VLOOKUP($I16,BeM_Courses!$E$3:$I$52,5,FALSE),""),"FAUX")</f>
        <v>FAUX</v>
      </c>
      <c r="AD16" s="75" t="str">
        <f>IF($E16="2000m Marche ",IF($D16="BeM",_xlfn.IFERROR(AE16,VLOOKUP($J16,BeM_Courses!$F$3:$I$52,4,TRUE)-1),AE16),"FAUX")</f>
        <v>FAUX</v>
      </c>
      <c r="AE16" s="75" t="str">
        <f>IF($E16="2000m Marche ",IF($D16="BeM",VLOOKUP($J16,BeM_Courses!$F$3:$I$52,4,FALSE),""),"FAUX")</f>
        <v>FAUX</v>
      </c>
    </row>
    <row r="17" spans="1:31" ht="15">
      <c r="A17" s="60"/>
      <c r="B17" s="46"/>
      <c r="C17" s="70"/>
      <c r="D17" s="36" t="s">
        <v>52</v>
      </c>
      <c r="E17" s="37"/>
      <c r="F17" s="171"/>
      <c r="G17" s="167"/>
      <c r="H17" s="176"/>
      <c r="I17" s="176"/>
      <c r="J17" s="167"/>
      <c r="K17" s="82">
        <f t="shared" si="0"/>
        <v>0</v>
      </c>
      <c r="L17" s="25" t="b">
        <f>IF($E17="50m ",IF($D17="BeF",_xlfn.IFERROR(M17,VLOOKUP(ROUNDUP($F17,1),BeF_Courses!$B$3:$I$52,8,TRUE)-1),M17))</f>
        <v>0</v>
      </c>
      <c r="M17" s="32" t="b">
        <f>IF($E17="50m ",IF($D17="BeF",VLOOKUP($F17,BeF_Courses!$B$3:$I$52,8,FALSE),""))</f>
        <v>0</v>
      </c>
      <c r="N17" s="4" t="b">
        <f>IF($E17="1000m ",IF($D17="BeF",_xlfn.IFERROR(O17,VLOOKUP(ROUNDUP($G17,1),BeF_Courses!$C$3:$I$52,7,TRUE)-1),O17))</f>
        <v>0</v>
      </c>
      <c r="O17" s="4" t="b">
        <f>IF($E17="1000m ",IF($D17="BeF",VLOOKUP($G17,BeF_Courses!$C$3:$I$52,7,FALSE),""))</f>
        <v>0</v>
      </c>
      <c r="P17" s="4" t="b">
        <f>IF($E17="50mH ",IF($D17="BeF",_xlfn.IFERROR(Q17,VLOOKUP(ROUNDUP($H17,1),BeF_Courses!$D$3:$I$52,6,TRUE)-1),Q17))</f>
        <v>0</v>
      </c>
      <c r="Q17" s="4" t="b">
        <f>IF($E17="50mH ",IF($D17="BeF",VLOOKUP($H17,BeF_Courses!$D$3:$I$52,6,FALSE),""))</f>
        <v>0</v>
      </c>
      <c r="R17" s="3" t="b">
        <f>IF($E17="200mH ",IF($D17="BeF",_xlfn.IFERROR(S17,VLOOKUP($I17,BeF_Courses!$E$3:$I$52,5,TRUE)-1),S17))</f>
        <v>0</v>
      </c>
      <c r="S17" s="26" t="str">
        <f>IF($E17="200mH ",IF($D17="BeF",VLOOKUP($I17,BeF_Courses!$E$3:$I$52,5,FALSE),""),"FAUX")</f>
        <v>FAUX</v>
      </c>
      <c r="T17" s="4" t="b">
        <f>IF($E17="2000m Marche ",IF($D17="BeF",_xlfn.IFERROR(U17,VLOOKUP($J17,BeF_Courses!$F$3:$I$52,4,TRUE)-1),U17))</f>
        <v>0</v>
      </c>
      <c r="U17" s="4" t="b">
        <f>IF($E17="2000m Marche ",IF($D17="BeF",VLOOKUP($J17,BeF_Courses!$F$3:$I$52,4,FALSE),""),FALSE)</f>
        <v>0</v>
      </c>
      <c r="V17" s="4" t="b">
        <f>IF($E17="50m ",IF($D17="BeM",_xlfn.IFERROR(W17,VLOOKUP($F17,BeM_Courses!$B$3:$I$52,8,TRUE)-1),W17))</f>
        <v>0</v>
      </c>
      <c r="W17" s="4" t="b">
        <f>IF($E17="50m ",IF($D17="BeM",VLOOKUP($F17,BeM_Courses!$B$3:$I$52,8,FALSE),""),FALSE)</f>
        <v>0</v>
      </c>
      <c r="X17" s="4" t="b">
        <f>IF($E17="1000m ",IF($D17="BeM",_xlfn.IFERROR(Y17,VLOOKUP($G17,BeM_Courses!$C$3:$I$52,7,TRUE)-1),Y17))</f>
        <v>0</v>
      </c>
      <c r="Y17" s="75" t="str">
        <f>IF($E17="1000m ",IF($D17="BeM",VLOOKUP($G17,BeM_Courses!$C$3:$I$52,7,FALSE),""),"FAUX")</f>
        <v>FAUX</v>
      </c>
      <c r="Z17" s="4" t="b">
        <f>IF($E17="50mH ",IF($D17="BeM",_xlfn.IFERROR(AA17,VLOOKUP($H17,BeM_Courses!$D$3:$I$52,6,"VRAI")-1),AA17))</f>
        <v>0</v>
      </c>
      <c r="AA17" s="75" t="str">
        <f>IF($E17="50mH ",IF($D17="BeM",VLOOKUP(H17,BeM_Courses!$D$3:$I$52,6,FALSE),""),"FAUX")</f>
        <v>FAUX</v>
      </c>
      <c r="AB17" s="75" t="str">
        <f>IF($E17="200mH ",IF($D17="BeM",_xlfn.IFERROR(AC17,VLOOKUP($I17,BeM_Courses!$E$3:$I$52,5,TRUE)-1),AC17),"FAUX")</f>
        <v>FAUX</v>
      </c>
      <c r="AC17" s="75" t="str">
        <f>IF($E17="200mH ",IF($D17="BeM",VLOOKUP($I17,BeM_Courses!$E$3:$I$52,5,FALSE),""),"FAUX")</f>
        <v>FAUX</v>
      </c>
      <c r="AD17" s="75" t="str">
        <f>IF($E17="2000m Marche ",IF($D17="BeM",_xlfn.IFERROR(AE17,VLOOKUP($J17,BeM_Courses!$F$3:$I$52,4,TRUE)-1),AE17),"FAUX")</f>
        <v>FAUX</v>
      </c>
      <c r="AE17" s="75" t="str">
        <f>IF($E17="2000m Marche ",IF($D17="BeM",VLOOKUP($J17,BeM_Courses!$F$3:$I$52,4,FALSE),""),"FAUX")</f>
        <v>FAUX</v>
      </c>
    </row>
    <row r="18" spans="1:31" ht="15">
      <c r="A18" s="60"/>
      <c r="B18" s="46"/>
      <c r="C18" s="70"/>
      <c r="D18" s="36" t="s">
        <v>52</v>
      </c>
      <c r="E18" s="37"/>
      <c r="F18" s="171"/>
      <c r="G18" s="167"/>
      <c r="H18" s="176"/>
      <c r="I18" s="176"/>
      <c r="J18" s="167"/>
      <c r="K18" s="82">
        <f t="shared" si="0"/>
        <v>0</v>
      </c>
      <c r="L18" s="25" t="b">
        <f>IF($E18="50m ",IF($D18="BeF",_xlfn.IFERROR(M18,VLOOKUP(ROUNDUP($F18,1),BeF_Courses!$B$3:$I$52,8,TRUE)-1),M18))</f>
        <v>0</v>
      </c>
      <c r="M18" s="32" t="b">
        <f>IF($E18="50m ",IF($D18="BeF",VLOOKUP($F18,BeF_Courses!$B$3:$I$52,8,FALSE),""))</f>
        <v>0</v>
      </c>
      <c r="N18" s="4" t="b">
        <f>IF($E18="1000m ",IF($D18="BeF",_xlfn.IFERROR(O18,VLOOKUP(ROUNDUP($G18,1),BeF_Courses!$C$3:$I$52,7,TRUE)-1),O18))</f>
        <v>0</v>
      </c>
      <c r="O18" s="4" t="b">
        <f>IF($E18="1000m ",IF($D18="BeF",VLOOKUP($G18,BeF_Courses!$C$3:$I$52,7,FALSE),""))</f>
        <v>0</v>
      </c>
      <c r="P18" s="4" t="b">
        <f>IF($E18="50mH ",IF($D18="BeF",_xlfn.IFERROR(Q18,VLOOKUP(ROUNDUP($H18,1),BeF_Courses!$D$3:$I$52,6,TRUE)-1),Q18))</f>
        <v>0</v>
      </c>
      <c r="Q18" s="4" t="b">
        <f>IF($E18="50mH ",IF($D18="BeF",VLOOKUP($H18,BeF_Courses!$D$3:$I$52,6,FALSE),""))</f>
        <v>0</v>
      </c>
      <c r="R18" s="3" t="b">
        <f>IF($E18="200mH ",IF($D18="BeF",_xlfn.IFERROR(S18,VLOOKUP($I18,BeF_Courses!$E$3:$I$52,5,TRUE)-1),S18))</f>
        <v>0</v>
      </c>
      <c r="S18" s="26" t="str">
        <f>IF($E18="200mH ",IF($D18="BeF",VLOOKUP($I18,BeF_Courses!$E$3:$I$52,5,FALSE),""),"FAUX")</f>
        <v>FAUX</v>
      </c>
      <c r="T18" s="4" t="b">
        <f>IF($E18="2000m Marche ",IF($D18="BeF",_xlfn.IFERROR(U18,VLOOKUP($J18,BeF_Courses!$F$3:$I$52,4,TRUE)-1),U18))</f>
        <v>0</v>
      </c>
      <c r="U18" s="4" t="b">
        <f>IF($E18="2000m Marche ",IF($D18="BeF",VLOOKUP($J18,BeF_Courses!$F$3:$I$52,4,FALSE),""),FALSE)</f>
        <v>0</v>
      </c>
      <c r="V18" s="4" t="b">
        <f>IF($E18="50m ",IF($D18="BeM",_xlfn.IFERROR(W18,VLOOKUP($F18,BeM_Courses!$B$3:$I$52,8,TRUE)-1),W18))</f>
        <v>0</v>
      </c>
      <c r="W18" s="4" t="b">
        <f>IF($E18="50m ",IF($D18="BeM",VLOOKUP($F18,BeM_Courses!$B$3:$I$52,8,FALSE),""),FALSE)</f>
        <v>0</v>
      </c>
      <c r="X18" s="4" t="b">
        <f>IF($E18="1000m ",IF($D18="BeM",_xlfn.IFERROR(Y18,VLOOKUP($G18,BeM_Courses!$C$3:$I$52,7,TRUE)-1),Y18))</f>
        <v>0</v>
      </c>
      <c r="Y18" s="75" t="str">
        <f>IF($E18="1000m ",IF($D18="BeM",VLOOKUP($G18,BeM_Courses!$C$3:$I$52,7,FALSE),""),"FAUX")</f>
        <v>FAUX</v>
      </c>
      <c r="Z18" s="4" t="b">
        <f>IF($E18="50mH ",IF($D18="BeM",_xlfn.IFERROR(AA18,VLOOKUP($H18,BeM_Courses!$D$3:$I$52,6,"VRAI")-1),AA18))</f>
        <v>0</v>
      </c>
      <c r="AA18" s="75" t="str">
        <f>IF($E18="50mH ",IF($D18="BeM",VLOOKUP(H18,BeM_Courses!$D$3:$I$52,6,FALSE),""),"FAUX")</f>
        <v>FAUX</v>
      </c>
      <c r="AB18" s="75" t="str">
        <f>IF($E18="200mH ",IF($D18="BeM",_xlfn.IFERROR(AC18,VLOOKUP($I18,BeM_Courses!$E$3:$I$52,5,TRUE)-1),AC18),"FAUX")</f>
        <v>FAUX</v>
      </c>
      <c r="AC18" s="75" t="str">
        <f>IF($E18="200mH ",IF($D18="BeM",VLOOKUP($I18,BeM_Courses!$E$3:$I$52,5,FALSE),""),"FAUX")</f>
        <v>FAUX</v>
      </c>
      <c r="AD18" s="75" t="str">
        <f>IF($E18="2000m Marche ",IF($D18="BeM",_xlfn.IFERROR(AE18,VLOOKUP($J18,BeM_Courses!$F$3:$I$52,4,TRUE)-1),AE18),"FAUX")</f>
        <v>FAUX</v>
      </c>
      <c r="AE18" s="75" t="str">
        <f>IF($E18="2000m Marche ",IF($D18="BeM",VLOOKUP($J18,BeM_Courses!$F$3:$I$52,4,FALSE),""),"FAUX")</f>
        <v>FAUX</v>
      </c>
    </row>
    <row r="19" spans="1:31" ht="15">
      <c r="A19" s="60"/>
      <c r="B19" s="46"/>
      <c r="C19" s="70"/>
      <c r="D19" s="36" t="s">
        <v>52</v>
      </c>
      <c r="E19" s="37"/>
      <c r="F19" s="171"/>
      <c r="G19" s="167"/>
      <c r="H19" s="176"/>
      <c r="I19" s="176"/>
      <c r="J19" s="167"/>
      <c r="K19" s="82">
        <f t="shared" si="0"/>
        <v>0</v>
      </c>
      <c r="L19" s="25" t="b">
        <f>IF($E19="50m ",IF($D19="BeF",_xlfn.IFERROR(M19,VLOOKUP(ROUNDUP($F19,1),BeF_Courses!$B$3:$I$52,8,TRUE)-1),M19))</f>
        <v>0</v>
      </c>
      <c r="M19" s="32" t="b">
        <f>IF($E19="50m ",IF($D19="BeF",VLOOKUP($F19,BeF_Courses!$B$3:$I$52,8,FALSE),""))</f>
        <v>0</v>
      </c>
      <c r="N19" s="4" t="b">
        <f>IF($E19="1000m ",IF($D19="BeF",_xlfn.IFERROR(O19,VLOOKUP(ROUNDUP($G19,1),BeF_Courses!$C$3:$I$52,7,TRUE)-1),O19))</f>
        <v>0</v>
      </c>
      <c r="O19" s="4" t="b">
        <f>IF($E19="1000m ",IF($D19="BeF",VLOOKUP($G19,BeF_Courses!$C$3:$I$52,7,FALSE),""))</f>
        <v>0</v>
      </c>
      <c r="P19" s="4" t="b">
        <f>IF($E19="50mH ",IF($D19="BeF",_xlfn.IFERROR(Q19,VLOOKUP(ROUNDUP($H19,1),BeF_Courses!$D$3:$I$52,6,TRUE)-1),Q19))</f>
        <v>0</v>
      </c>
      <c r="Q19" s="4" t="b">
        <f>IF($E19="50mH ",IF($D19="BeF",VLOOKUP($H19,BeF_Courses!$D$3:$I$52,6,FALSE),""))</f>
        <v>0</v>
      </c>
      <c r="R19" s="3" t="b">
        <f>IF($E19="200mH ",IF($D19="BeF",_xlfn.IFERROR(S19,VLOOKUP($I19,BeF_Courses!$E$3:$I$52,5,TRUE)-1),S19))</f>
        <v>0</v>
      </c>
      <c r="S19" s="26" t="str">
        <f>IF($E19="200mH ",IF($D19="BeF",VLOOKUP($I19,BeF_Courses!$E$3:$I$52,5,FALSE),""),"FAUX")</f>
        <v>FAUX</v>
      </c>
      <c r="T19" s="4" t="b">
        <f>IF($E19="2000m Marche ",IF($D19="BeF",_xlfn.IFERROR(U19,VLOOKUP($J19,BeF_Courses!$F$3:$I$52,4,TRUE)-1),U19))</f>
        <v>0</v>
      </c>
      <c r="U19" s="4" t="b">
        <f>IF($E19="2000m Marche ",IF($D19="BeF",VLOOKUP($J19,BeF_Courses!$F$3:$I$52,4,FALSE),""),FALSE)</f>
        <v>0</v>
      </c>
      <c r="V19" s="4" t="b">
        <f>IF($E19="50m ",IF($D19="BeM",_xlfn.IFERROR(W19,VLOOKUP($F19,BeM_Courses!$B$3:$I$52,8,TRUE)-1),W19))</f>
        <v>0</v>
      </c>
      <c r="W19" s="4" t="b">
        <f>IF($E19="50m ",IF($D19="BeM",VLOOKUP($F19,BeM_Courses!$B$3:$I$52,8,FALSE),""),FALSE)</f>
        <v>0</v>
      </c>
      <c r="X19" s="4" t="b">
        <f>IF($E19="1000m ",IF($D19="BeM",_xlfn.IFERROR(Y19,VLOOKUP($G19,BeM_Courses!$C$3:$I$52,7,TRUE)-1),Y19))</f>
        <v>0</v>
      </c>
      <c r="Y19" s="75" t="str">
        <f>IF($E19="1000m ",IF($D19="BeM",VLOOKUP($G19,BeM_Courses!$C$3:$I$52,7,FALSE),""),"FAUX")</f>
        <v>FAUX</v>
      </c>
      <c r="Z19" s="4" t="b">
        <f>IF($E19="50mH ",IF($D19="BeM",_xlfn.IFERROR(AA19,VLOOKUP($H19,BeM_Courses!$D$3:$I$52,6,"VRAI")-1),AA19))</f>
        <v>0</v>
      </c>
      <c r="AA19" s="75" t="str">
        <f>IF($E19="50mH ",IF($D19="BeM",VLOOKUP(H19,BeM_Courses!$D$3:$I$52,6,FALSE),""),"FAUX")</f>
        <v>FAUX</v>
      </c>
      <c r="AB19" s="75" t="str">
        <f>IF($E19="200mH ",IF($D19="BeM",_xlfn.IFERROR(AC19,VLOOKUP($I19,BeM_Courses!$E$3:$I$52,5,TRUE)-1),AC19),"FAUX")</f>
        <v>FAUX</v>
      </c>
      <c r="AC19" s="75" t="str">
        <f>IF($E19="200mH ",IF($D19="BeM",VLOOKUP($I19,BeM_Courses!$E$3:$I$52,5,FALSE),""),"FAUX")</f>
        <v>FAUX</v>
      </c>
      <c r="AD19" s="75" t="str">
        <f>IF($E19="2000m Marche ",IF($D19="BeM",_xlfn.IFERROR(AE19,VLOOKUP($J19,BeM_Courses!$F$3:$I$52,4,TRUE)-1),AE19),"FAUX")</f>
        <v>FAUX</v>
      </c>
      <c r="AE19" s="75" t="str">
        <f>IF($E19="2000m Marche ",IF($D19="BeM",VLOOKUP($J19,BeM_Courses!$F$3:$I$52,4,FALSE),""),"FAUX")</f>
        <v>FAUX</v>
      </c>
    </row>
    <row r="20" spans="1:31" ht="15">
      <c r="A20" s="60"/>
      <c r="B20" s="46"/>
      <c r="C20" s="70"/>
      <c r="D20" s="36" t="s">
        <v>52</v>
      </c>
      <c r="E20" s="37"/>
      <c r="F20" s="171"/>
      <c r="G20" s="167"/>
      <c r="H20" s="176"/>
      <c r="I20" s="176"/>
      <c r="J20" s="167"/>
      <c r="K20" s="82">
        <f t="shared" si="0"/>
        <v>0</v>
      </c>
      <c r="L20" s="25" t="b">
        <f>IF($E20="50m ",IF($D20="BeF",_xlfn.IFERROR(M20,VLOOKUP(ROUNDUP($F20,1),BeF_Courses!$B$3:$I$52,8,TRUE)-1),M20))</f>
        <v>0</v>
      </c>
      <c r="M20" s="32" t="b">
        <f>IF($E20="50m ",IF($D20="BeF",VLOOKUP($F20,BeF_Courses!$B$3:$I$52,8,FALSE),""))</f>
        <v>0</v>
      </c>
      <c r="N20" s="4" t="b">
        <f>IF($E20="1000m ",IF($D20="BeF",_xlfn.IFERROR(O20,VLOOKUP(ROUNDUP($G20,1),BeF_Courses!$C$3:$I$52,7,TRUE)-1),O20))</f>
        <v>0</v>
      </c>
      <c r="O20" s="4" t="b">
        <f>IF($E20="1000m ",IF($D20="BeF",VLOOKUP($G20,BeF_Courses!$C$3:$I$52,7,FALSE),""))</f>
        <v>0</v>
      </c>
      <c r="P20" s="4" t="b">
        <f>IF($E20="50mH ",IF($D20="BeF",_xlfn.IFERROR(Q20,VLOOKUP(ROUNDUP($H20,1),BeF_Courses!$D$3:$I$52,6,TRUE)-1),Q20))</f>
        <v>0</v>
      </c>
      <c r="Q20" s="4" t="b">
        <f>IF($E20="50mH ",IF($D20="BeF",VLOOKUP($H20,BeF_Courses!$D$3:$I$52,6,FALSE),""))</f>
        <v>0</v>
      </c>
      <c r="R20" s="3" t="b">
        <f>IF($E20="200mH ",IF($D20="BeF",_xlfn.IFERROR(S20,VLOOKUP($I20,BeF_Courses!$E$3:$I$52,5,TRUE)-1),S20))</f>
        <v>0</v>
      </c>
      <c r="S20" s="26" t="str">
        <f>IF($E20="200mH ",IF($D20="BeF",VLOOKUP($I20,BeF_Courses!$E$3:$I$52,5,FALSE),""),"FAUX")</f>
        <v>FAUX</v>
      </c>
      <c r="T20" s="4" t="b">
        <f>IF($E20="2000m Marche ",IF($D20="BeF",_xlfn.IFERROR(U20,VLOOKUP($J20,BeF_Courses!$F$3:$I$52,4,TRUE)-1),U20))</f>
        <v>0</v>
      </c>
      <c r="U20" s="4" t="b">
        <f>IF($E20="2000m Marche ",IF($D20="BeF",VLOOKUP($J20,BeF_Courses!$F$3:$I$52,4,FALSE),""),FALSE)</f>
        <v>0</v>
      </c>
      <c r="V20" s="4" t="b">
        <f>IF($E20="50m ",IF($D20="BeM",_xlfn.IFERROR(W20,VLOOKUP($F20,BeM_Courses!$B$3:$I$52,8,TRUE)-1),W20))</f>
        <v>0</v>
      </c>
      <c r="W20" s="4" t="b">
        <f>IF($E20="50m ",IF($D20="BeM",VLOOKUP($F20,BeM_Courses!$B$3:$I$52,8,FALSE),""),FALSE)</f>
        <v>0</v>
      </c>
      <c r="X20" s="4" t="b">
        <f>IF($E20="1000m ",IF($D20="BeM",_xlfn.IFERROR(Y20,VLOOKUP($G20,BeM_Courses!$C$3:$I$52,7,TRUE)-1),Y20))</f>
        <v>0</v>
      </c>
      <c r="Y20" s="75" t="str">
        <f>IF($E20="1000m ",IF($D20="BeM",VLOOKUP($G20,BeM_Courses!$C$3:$I$52,7,FALSE),""),"FAUX")</f>
        <v>FAUX</v>
      </c>
      <c r="Z20" s="4" t="b">
        <f>IF($E20="50mH ",IF($D20="BeM",_xlfn.IFERROR(AA20,VLOOKUP($H20,BeM_Courses!$D$3:$I$52,6,"VRAI")-1),AA20))</f>
        <v>0</v>
      </c>
      <c r="AA20" s="75" t="str">
        <f>IF($E20="50mH ",IF($D20="BeM",VLOOKUP(H20,BeM_Courses!$D$3:$I$52,6,FALSE),""),"FAUX")</f>
        <v>FAUX</v>
      </c>
      <c r="AB20" s="75" t="str">
        <f>IF($E20="200mH ",IF($D20="BeM",_xlfn.IFERROR(AC20,VLOOKUP($I20,BeM_Courses!$E$3:$I$52,5,TRUE)-1),AC20),"FAUX")</f>
        <v>FAUX</v>
      </c>
      <c r="AC20" s="75" t="str">
        <f>IF($E20="200mH ",IF($D20="BeM",VLOOKUP($I20,BeM_Courses!$E$3:$I$52,5,FALSE),""),"FAUX")</f>
        <v>FAUX</v>
      </c>
      <c r="AD20" s="75" t="str">
        <f>IF($E20="2000m Marche ",IF($D20="BeM",_xlfn.IFERROR(AE20,VLOOKUP($J20,BeM_Courses!$F$3:$I$52,4,TRUE)-1),AE20),"FAUX")</f>
        <v>FAUX</v>
      </c>
      <c r="AE20" s="75" t="str">
        <f>IF($E20="2000m Marche ",IF($D20="BeM",VLOOKUP($J20,BeM_Courses!$F$3:$I$52,4,FALSE),""),"FAUX")</f>
        <v>FAUX</v>
      </c>
    </row>
    <row r="21" spans="1:31" ht="15">
      <c r="A21" s="60"/>
      <c r="B21" s="46"/>
      <c r="C21" s="70"/>
      <c r="D21" s="36" t="s">
        <v>52</v>
      </c>
      <c r="E21" s="37"/>
      <c r="F21" s="171"/>
      <c r="G21" s="167"/>
      <c r="H21" s="176"/>
      <c r="I21" s="176"/>
      <c r="J21" s="167"/>
      <c r="K21" s="82">
        <f t="shared" si="0"/>
        <v>0</v>
      </c>
      <c r="L21" s="25" t="b">
        <f>IF($E21="50m ",IF($D21="BeF",_xlfn.IFERROR(M21,VLOOKUP(ROUNDUP($F21,1),BeF_Courses!$B$3:$I$52,8,TRUE)-1),M21))</f>
        <v>0</v>
      </c>
      <c r="M21" s="32" t="b">
        <f>IF($E21="50m ",IF($D21="BeF",VLOOKUP($F21,BeF_Courses!$B$3:$I$52,8,FALSE),""))</f>
        <v>0</v>
      </c>
      <c r="N21" s="4" t="b">
        <f>IF($E21="1000m ",IF($D21="BeF",_xlfn.IFERROR(O21,VLOOKUP(ROUNDUP($G21,1),BeF_Courses!$C$3:$I$52,7,TRUE)-1),O21))</f>
        <v>0</v>
      </c>
      <c r="O21" s="4" t="b">
        <f>IF($E21="1000m ",IF($D21="BeF",VLOOKUP($G21,BeF_Courses!$C$3:$I$52,7,FALSE),""))</f>
        <v>0</v>
      </c>
      <c r="P21" s="4" t="b">
        <f>IF($E21="50mH ",IF($D21="BeF",_xlfn.IFERROR(Q21,VLOOKUP(ROUNDUP($H21,1),BeF_Courses!$D$3:$I$52,6,TRUE)-1),Q21))</f>
        <v>0</v>
      </c>
      <c r="Q21" s="4" t="b">
        <f>IF($E21="50mH ",IF($D21="BeF",VLOOKUP($H21,BeF_Courses!$D$3:$I$52,6,FALSE),""))</f>
        <v>0</v>
      </c>
      <c r="R21" s="3" t="b">
        <f>IF($E21="200mH ",IF($D21="BeF",_xlfn.IFERROR(S21,VLOOKUP($I21,BeF_Courses!$E$3:$I$52,5,TRUE)-1),S21))</f>
        <v>0</v>
      </c>
      <c r="S21" s="26" t="str">
        <f>IF($E21="200mH ",IF($D21="BeF",VLOOKUP($I21,BeF_Courses!$E$3:$I$52,5,FALSE),""),"FAUX")</f>
        <v>FAUX</v>
      </c>
      <c r="T21" s="4" t="b">
        <f>IF($E21="2000m Marche ",IF($D21="BeF",_xlfn.IFERROR(U21,VLOOKUP($J21,BeF_Courses!$F$3:$I$52,4,TRUE)-1),U21))</f>
        <v>0</v>
      </c>
      <c r="U21" s="4" t="b">
        <f>IF($E21="2000m Marche ",IF($D21="BeF",VLOOKUP($J21,BeF_Courses!$F$3:$I$52,4,FALSE),""),FALSE)</f>
        <v>0</v>
      </c>
      <c r="V21" s="4" t="b">
        <f>IF($E21="50m ",IF($D21="BeM",_xlfn.IFERROR(W21,VLOOKUP($F21,BeM_Courses!$B$3:$I$52,8,TRUE)-1),W21))</f>
        <v>0</v>
      </c>
      <c r="W21" s="4" t="b">
        <f>IF($E21="50m ",IF($D21="BeM",VLOOKUP($F21,BeM_Courses!$B$3:$I$52,8,FALSE),""),FALSE)</f>
        <v>0</v>
      </c>
      <c r="X21" s="4" t="b">
        <f>IF($E21="1000m ",IF($D21="BeM",_xlfn.IFERROR(Y21,VLOOKUP($G21,BeM_Courses!$C$3:$I$52,7,TRUE)-1),Y21))</f>
        <v>0</v>
      </c>
      <c r="Y21" s="75" t="str">
        <f>IF($E21="1000m ",IF($D21="BeM",VLOOKUP($G21,BeM_Courses!$C$3:$I$52,7,FALSE),""),"FAUX")</f>
        <v>FAUX</v>
      </c>
      <c r="Z21" s="4" t="b">
        <f>IF($E21="50mH ",IF($D21="BeM",_xlfn.IFERROR(AA21,VLOOKUP($H21,BeM_Courses!$D$3:$I$52,6,"VRAI")-1),AA21))</f>
        <v>0</v>
      </c>
      <c r="AA21" s="75" t="str">
        <f>IF($E21="50mH ",IF($D21="BeM",VLOOKUP(H21,BeM_Courses!$D$3:$I$52,6,FALSE),""),"FAUX")</f>
        <v>FAUX</v>
      </c>
      <c r="AB21" s="75" t="str">
        <f>IF($E21="200mH ",IF($D21="BeM",_xlfn.IFERROR(AC21,VLOOKUP($I21,BeM_Courses!$E$3:$I$52,5,TRUE)-1),AC21),"FAUX")</f>
        <v>FAUX</v>
      </c>
      <c r="AC21" s="75" t="str">
        <f>IF($E21="200mH ",IF($D21="BeM",VLOOKUP($I21,BeM_Courses!$E$3:$I$52,5,FALSE),""),"FAUX")</f>
        <v>FAUX</v>
      </c>
      <c r="AD21" s="75" t="str">
        <f>IF($E21="2000m Marche ",IF($D21="BeM",_xlfn.IFERROR(AE21,VLOOKUP($J21,BeM_Courses!$F$3:$I$52,4,TRUE)-1),AE21),"FAUX")</f>
        <v>FAUX</v>
      </c>
      <c r="AE21" s="75" t="str">
        <f>IF($E21="2000m Marche ",IF($D21="BeM",VLOOKUP($J21,BeM_Courses!$F$3:$I$52,4,FALSE),""),"FAUX")</f>
        <v>FAUX</v>
      </c>
    </row>
    <row r="22" spans="1:31" ht="15">
      <c r="A22" s="60"/>
      <c r="B22" s="46"/>
      <c r="C22" s="70"/>
      <c r="D22" s="36" t="s">
        <v>52</v>
      </c>
      <c r="E22" s="37"/>
      <c r="F22" s="171"/>
      <c r="G22" s="167"/>
      <c r="H22" s="176"/>
      <c r="I22" s="176"/>
      <c r="J22" s="167"/>
      <c r="K22" s="82">
        <f t="shared" si="0"/>
        <v>0</v>
      </c>
      <c r="L22" s="25" t="b">
        <f>IF($E22="50m ",IF($D22="BeF",_xlfn.IFERROR(M22,VLOOKUP(ROUNDUP($F22,1),BeF_Courses!$B$3:$I$52,8,TRUE)-1),M22))</f>
        <v>0</v>
      </c>
      <c r="M22" s="32" t="b">
        <f>IF($E22="50m ",IF($D22="BeF",VLOOKUP($F22,BeF_Courses!$B$3:$I$52,8,FALSE),""))</f>
        <v>0</v>
      </c>
      <c r="N22" s="4" t="b">
        <f>IF($E22="1000m ",IF($D22="BeF",_xlfn.IFERROR(O22,VLOOKUP(ROUNDUP($G22,1),BeF_Courses!$C$3:$I$52,7,TRUE)-1),O22))</f>
        <v>0</v>
      </c>
      <c r="O22" s="4" t="b">
        <f>IF($E22="1000m ",IF($D22="BeF",VLOOKUP($G22,BeF_Courses!$C$3:$I$52,7,FALSE),""))</f>
        <v>0</v>
      </c>
      <c r="P22" s="4" t="b">
        <f>IF($E22="50mH ",IF($D22="BeF",_xlfn.IFERROR(Q22,VLOOKUP(ROUNDUP($H22,1),BeF_Courses!$D$3:$I$52,6,TRUE)-1),Q22))</f>
        <v>0</v>
      </c>
      <c r="Q22" s="4" t="b">
        <f>IF($E22="50mH ",IF($D22="BeF",VLOOKUP($H22,BeF_Courses!$D$3:$I$52,6,FALSE),""))</f>
        <v>0</v>
      </c>
      <c r="R22" s="3" t="b">
        <f>IF($E22="200mH ",IF($D22="BeF",_xlfn.IFERROR(S22,VLOOKUP($I22,BeF_Courses!$E$3:$I$52,5,TRUE)-1),S22))</f>
        <v>0</v>
      </c>
      <c r="S22" s="26" t="str">
        <f>IF($E22="200mH ",IF($D22="BeF",VLOOKUP($I22,BeF_Courses!$E$3:$I$52,5,FALSE),""),"FAUX")</f>
        <v>FAUX</v>
      </c>
      <c r="T22" s="4" t="b">
        <f>IF($E22="2000m Marche ",IF($D22="BeF",_xlfn.IFERROR(U22,VLOOKUP($J22,BeF_Courses!$F$3:$I$52,4,TRUE)-1),U22))</f>
        <v>0</v>
      </c>
      <c r="U22" s="4" t="b">
        <f>IF($E22="2000m Marche ",IF($D22="BeF",VLOOKUP($J22,BeF_Courses!$F$3:$I$52,4,FALSE),""),FALSE)</f>
        <v>0</v>
      </c>
      <c r="V22" s="4" t="b">
        <f>IF($E22="50m ",IF($D22="BeM",_xlfn.IFERROR(W22,VLOOKUP($F22,BeM_Courses!$B$3:$I$52,8,TRUE)-1),W22))</f>
        <v>0</v>
      </c>
      <c r="W22" s="4" t="b">
        <f>IF($E22="50m ",IF($D22="BeM",VLOOKUP($F22,BeM_Courses!$B$3:$I$52,8,FALSE),""),FALSE)</f>
        <v>0</v>
      </c>
      <c r="X22" s="4" t="b">
        <f>IF($E22="1000m ",IF($D22="BeM",_xlfn.IFERROR(Y22,VLOOKUP($G22,BeM_Courses!$C$3:$I$52,7,TRUE)-1),Y22))</f>
        <v>0</v>
      </c>
      <c r="Y22" s="75" t="str">
        <f>IF($E22="1000m ",IF($D22="BeM",VLOOKUP($G22,BeM_Courses!$C$3:$I$52,7,FALSE),""),"FAUX")</f>
        <v>FAUX</v>
      </c>
      <c r="Z22" s="4" t="b">
        <f>IF($E22="50mH ",IF($D22="BeM",_xlfn.IFERROR(AA22,VLOOKUP($H22,BeM_Courses!$D$3:$I$52,6,"VRAI")-1),AA22))</f>
        <v>0</v>
      </c>
      <c r="AA22" s="75" t="str">
        <f>IF($E22="50mH ",IF($D22="BeM",VLOOKUP(H22,BeM_Courses!$D$3:$I$52,6,FALSE),""),"FAUX")</f>
        <v>FAUX</v>
      </c>
      <c r="AB22" s="75" t="str">
        <f>IF($E22="200mH ",IF($D22="BeM",_xlfn.IFERROR(AC22,VLOOKUP($I22,BeM_Courses!$E$3:$I$52,5,TRUE)-1),AC22),"FAUX")</f>
        <v>FAUX</v>
      </c>
      <c r="AC22" s="75" t="str">
        <f>IF($E22="200mH ",IF($D22="BeM",VLOOKUP($I22,BeM_Courses!$E$3:$I$52,5,FALSE),""),"FAUX")</f>
        <v>FAUX</v>
      </c>
      <c r="AD22" s="75" t="str">
        <f>IF($E22="2000m Marche ",IF($D22="BeM",_xlfn.IFERROR(AE22,VLOOKUP($J22,BeM_Courses!$F$3:$I$52,4,TRUE)-1),AE22),"FAUX")</f>
        <v>FAUX</v>
      </c>
      <c r="AE22" s="75" t="str">
        <f>IF($E22="2000m Marche ",IF($D22="BeM",VLOOKUP($J22,BeM_Courses!$F$3:$I$52,4,FALSE),""),"FAUX")</f>
        <v>FAUX</v>
      </c>
    </row>
    <row r="23" spans="1:31" ht="15">
      <c r="A23" s="60"/>
      <c r="B23" s="46"/>
      <c r="C23" s="70"/>
      <c r="D23" s="36" t="s">
        <v>52</v>
      </c>
      <c r="E23" s="37"/>
      <c r="F23" s="171"/>
      <c r="G23" s="167"/>
      <c r="H23" s="176"/>
      <c r="I23" s="176"/>
      <c r="J23" s="167"/>
      <c r="K23" s="82">
        <f t="shared" si="0"/>
        <v>0</v>
      </c>
      <c r="L23" s="25" t="b">
        <f>IF($E23="50m ",IF($D23="BeF",_xlfn.IFERROR(M23,VLOOKUP(ROUNDUP($F23,1),BeF_Courses!$B$3:$I$52,8,TRUE)-1),M23))</f>
        <v>0</v>
      </c>
      <c r="M23" s="32" t="b">
        <f>IF($E23="50m ",IF($D23="BeF",VLOOKUP($F23,BeF_Courses!$B$3:$I$52,8,FALSE),""))</f>
        <v>0</v>
      </c>
      <c r="N23" s="4" t="b">
        <f>IF($E23="1000m ",IF($D23="BeF",_xlfn.IFERROR(O23,VLOOKUP(ROUNDUP($G23,1),BeF_Courses!$C$3:$I$52,7,TRUE)-1),O23))</f>
        <v>0</v>
      </c>
      <c r="O23" s="4" t="b">
        <f>IF($E23="1000m ",IF($D23="BeF",VLOOKUP($G23,BeF_Courses!$C$3:$I$52,7,FALSE),""))</f>
        <v>0</v>
      </c>
      <c r="P23" s="4" t="b">
        <f>IF($E23="50mH ",IF($D23="BeF",_xlfn.IFERROR(Q23,VLOOKUP(ROUNDUP($H23,1),BeF_Courses!$D$3:$I$52,6,TRUE)-1),Q23))</f>
        <v>0</v>
      </c>
      <c r="Q23" s="4" t="b">
        <f>IF($E23="50mH ",IF($D23="BeF",VLOOKUP($H23,BeF_Courses!$D$3:$I$52,6,FALSE),""))</f>
        <v>0</v>
      </c>
      <c r="R23" s="3" t="b">
        <f>IF($E23="200mH ",IF($D23="BeF",_xlfn.IFERROR(S23,VLOOKUP($I23,BeF_Courses!$E$3:$I$52,5,TRUE)-1),S23))</f>
        <v>0</v>
      </c>
      <c r="S23" s="26" t="str">
        <f>IF($E23="200mH ",IF($D23="BeF",VLOOKUP($I23,BeF_Courses!$E$3:$I$52,5,FALSE),""),"FAUX")</f>
        <v>FAUX</v>
      </c>
      <c r="T23" s="4" t="b">
        <f>IF($E23="2000m Marche ",IF($D23="BeF",_xlfn.IFERROR(U23,VLOOKUP($J23,BeF_Courses!$F$3:$I$52,4,TRUE)-1),U23))</f>
        <v>0</v>
      </c>
      <c r="U23" s="4" t="b">
        <f>IF($E23="2000m Marche ",IF($D23="BeF",VLOOKUP($J23,BeF_Courses!$F$3:$I$52,4,FALSE),""),FALSE)</f>
        <v>0</v>
      </c>
      <c r="V23" s="4" t="b">
        <f>IF($E23="50m ",IF($D23="BeM",_xlfn.IFERROR(W23,VLOOKUP($F23,BeM_Courses!$B$3:$I$52,8,TRUE)-1),W23))</f>
        <v>0</v>
      </c>
      <c r="W23" s="4" t="b">
        <f>IF($E23="50m ",IF($D23="BeM",VLOOKUP($F23,BeM_Courses!$B$3:$I$52,8,FALSE),""),FALSE)</f>
        <v>0</v>
      </c>
      <c r="X23" s="4" t="b">
        <f>IF($E23="1000m ",IF($D23="BeM",_xlfn.IFERROR(Y23,VLOOKUP($G23,BeM_Courses!$C$3:$I$52,7,TRUE)-1),Y23))</f>
        <v>0</v>
      </c>
      <c r="Y23" s="75" t="str">
        <f>IF($E23="1000m ",IF($D23="BeM",VLOOKUP($G23,BeM_Courses!$C$3:$I$52,7,FALSE),""),"FAUX")</f>
        <v>FAUX</v>
      </c>
      <c r="Z23" s="4" t="b">
        <f>IF($E23="50mH ",IF($D23="BeM",_xlfn.IFERROR(AA23,VLOOKUP($H23,BeM_Courses!$D$3:$I$52,6,"VRAI")-1),AA23))</f>
        <v>0</v>
      </c>
      <c r="AA23" s="75" t="str">
        <f>IF($E23="50mH ",IF($D23="BeM",VLOOKUP(H23,BeM_Courses!$D$3:$I$52,6,FALSE),""),"FAUX")</f>
        <v>FAUX</v>
      </c>
      <c r="AB23" s="75" t="str">
        <f>IF($E23="200mH ",IF($D23="BeM",_xlfn.IFERROR(AC23,VLOOKUP($I23,BeM_Courses!$E$3:$I$52,5,TRUE)-1),AC23),"FAUX")</f>
        <v>FAUX</v>
      </c>
      <c r="AC23" s="75" t="str">
        <f>IF($E23="200mH ",IF($D23="BeM",VLOOKUP($I23,BeM_Courses!$E$3:$I$52,5,FALSE),""),"FAUX")</f>
        <v>FAUX</v>
      </c>
      <c r="AD23" s="75" t="str">
        <f>IF($E23="2000m Marche ",IF($D23="BeM",_xlfn.IFERROR(AE23,VLOOKUP($J23,BeM_Courses!$F$3:$I$52,4,TRUE)-1),AE23),"FAUX")</f>
        <v>FAUX</v>
      </c>
      <c r="AE23" s="75" t="str">
        <f>IF($E23="2000m Marche ",IF($D23="BeM",VLOOKUP($J23,BeM_Courses!$F$3:$I$52,4,FALSE),""),"FAUX")</f>
        <v>FAUX</v>
      </c>
    </row>
    <row r="24" spans="1:31" ht="15">
      <c r="A24" s="60"/>
      <c r="B24" s="46"/>
      <c r="C24" s="70"/>
      <c r="D24" s="36" t="s">
        <v>52</v>
      </c>
      <c r="E24" s="37"/>
      <c r="F24" s="171"/>
      <c r="G24" s="167"/>
      <c r="H24" s="176"/>
      <c r="I24" s="176"/>
      <c r="J24" s="167"/>
      <c r="K24" s="82">
        <f t="shared" si="0"/>
        <v>0</v>
      </c>
      <c r="L24" s="25" t="b">
        <f>IF($E24="50m ",IF($D24="BeF",_xlfn.IFERROR(M24,VLOOKUP(ROUNDUP($F24,1),BeF_Courses!$B$3:$I$52,8,TRUE)-1),M24))</f>
        <v>0</v>
      </c>
      <c r="M24" s="32" t="b">
        <f>IF($E24="50m ",IF($D24="BeF",VLOOKUP($F24,BeF_Courses!$B$3:$I$52,8,FALSE),""))</f>
        <v>0</v>
      </c>
      <c r="N24" s="4" t="b">
        <f>IF($E24="1000m ",IF($D24="BeF",_xlfn.IFERROR(O24,VLOOKUP(ROUNDUP($G24,1),BeF_Courses!$C$3:$I$52,7,TRUE)-1),O24))</f>
        <v>0</v>
      </c>
      <c r="O24" s="4" t="b">
        <f>IF($E24="1000m ",IF($D24="BeF",VLOOKUP($G24,BeF_Courses!$C$3:$I$52,7,FALSE),""))</f>
        <v>0</v>
      </c>
      <c r="P24" s="4" t="b">
        <f>IF($E24="50mH ",IF($D24="BeF",_xlfn.IFERROR(Q24,VLOOKUP(ROUNDUP($H24,1),BeF_Courses!$D$3:$I$52,6,TRUE)-1),Q24))</f>
        <v>0</v>
      </c>
      <c r="Q24" s="4" t="b">
        <f>IF($E24="50mH ",IF($D24="BeF",VLOOKUP($H24,BeF_Courses!$D$3:$I$52,6,FALSE),""))</f>
        <v>0</v>
      </c>
      <c r="R24" s="3" t="b">
        <f>IF($E24="200mH ",IF($D24="BeF",_xlfn.IFERROR(S24,VLOOKUP($I24,BeF_Courses!$E$3:$I$52,5,TRUE)-1),S24))</f>
        <v>0</v>
      </c>
      <c r="S24" s="26" t="str">
        <f>IF($E24="200mH ",IF($D24="BeF",VLOOKUP($I24,BeF_Courses!$E$3:$I$52,5,FALSE),""),"FAUX")</f>
        <v>FAUX</v>
      </c>
      <c r="T24" s="4" t="b">
        <f>IF($E24="2000m Marche ",IF($D24="BeF",_xlfn.IFERROR(U24,VLOOKUP($J24,BeF_Courses!$F$3:$I$52,4,TRUE)-1),U24))</f>
        <v>0</v>
      </c>
      <c r="U24" s="4" t="b">
        <f>IF($E24="2000m Marche ",IF($D24="BeF",VLOOKUP($J24,BeF_Courses!$F$3:$I$52,4,FALSE),""),FALSE)</f>
        <v>0</v>
      </c>
      <c r="V24" s="4" t="b">
        <f>IF($E24="50m ",IF($D24="BeM",_xlfn.IFERROR(W24,VLOOKUP($F24,BeM_Courses!$B$3:$I$52,8,TRUE)-1),W24))</f>
        <v>0</v>
      </c>
      <c r="W24" s="4" t="b">
        <f>IF($E24="50m ",IF($D24="BeM",VLOOKUP($F24,BeM_Courses!$B$3:$I$52,8,FALSE),""),FALSE)</f>
        <v>0</v>
      </c>
      <c r="X24" s="4" t="b">
        <f>IF($E24="1000m ",IF($D24="BeM",_xlfn.IFERROR(Y24,VLOOKUP($G24,BeM_Courses!$C$3:$I$52,7,TRUE)-1),Y24))</f>
        <v>0</v>
      </c>
      <c r="Y24" s="75" t="str">
        <f>IF($E24="1000m ",IF($D24="BeM",VLOOKUP($G24,BeM_Courses!$C$3:$I$52,7,FALSE),""),"FAUX")</f>
        <v>FAUX</v>
      </c>
      <c r="Z24" s="4" t="b">
        <f>IF($E24="50mH ",IF($D24="BeM",_xlfn.IFERROR(AA24,VLOOKUP($H24,BeM_Courses!$D$3:$I$52,6,"VRAI")-1),AA24))</f>
        <v>0</v>
      </c>
      <c r="AA24" s="75" t="str">
        <f>IF($E24="50mH ",IF($D24="BeM",VLOOKUP(H24,BeM_Courses!$D$3:$I$52,6,FALSE),""),"FAUX")</f>
        <v>FAUX</v>
      </c>
      <c r="AB24" s="75" t="str">
        <f>IF($E24="200mH ",IF($D24="BeM",_xlfn.IFERROR(AC24,VLOOKUP($I24,BeM_Courses!$E$3:$I$52,5,TRUE)-1),AC24),"FAUX")</f>
        <v>FAUX</v>
      </c>
      <c r="AC24" s="75" t="str">
        <f>IF($E24="200mH ",IF($D24="BeM",VLOOKUP($I24,BeM_Courses!$E$3:$I$52,5,FALSE),""),"FAUX")</f>
        <v>FAUX</v>
      </c>
      <c r="AD24" s="75" t="str">
        <f>IF($E24="2000m Marche ",IF($D24="BeM",_xlfn.IFERROR(AE24,VLOOKUP($J24,BeM_Courses!$F$3:$I$52,4,TRUE)-1),AE24),"FAUX")</f>
        <v>FAUX</v>
      </c>
      <c r="AE24" s="75" t="str">
        <f>IF($E24="2000m Marche ",IF($D24="BeM",VLOOKUP($J24,BeM_Courses!$F$3:$I$52,4,FALSE),""),"FAUX")</f>
        <v>FAUX</v>
      </c>
    </row>
    <row r="25" spans="1:31" ht="15">
      <c r="A25" s="60"/>
      <c r="B25" s="46"/>
      <c r="C25" s="70"/>
      <c r="D25" s="36" t="s">
        <v>52</v>
      </c>
      <c r="E25" s="37"/>
      <c r="F25" s="171"/>
      <c r="G25" s="167"/>
      <c r="H25" s="176"/>
      <c r="I25" s="176"/>
      <c r="J25" s="167"/>
      <c r="K25" s="82">
        <f t="shared" si="0"/>
        <v>0</v>
      </c>
      <c r="L25" s="25" t="b">
        <f>IF($E25="50m ",IF($D25="BeF",_xlfn.IFERROR(M25,VLOOKUP(ROUNDUP($F25,1),BeF_Courses!$B$3:$I$52,8,TRUE)-1),M25))</f>
        <v>0</v>
      </c>
      <c r="M25" s="32" t="b">
        <f>IF($E25="50m ",IF($D25="BeF",VLOOKUP($F25,BeF_Courses!$B$3:$I$52,8,FALSE),""))</f>
        <v>0</v>
      </c>
      <c r="N25" s="4" t="b">
        <f>IF($E25="1000m ",IF($D25="BeF",_xlfn.IFERROR(O25,VLOOKUP(ROUNDUP($G25,1),BeF_Courses!$C$3:$I$52,7,TRUE)-1),O25))</f>
        <v>0</v>
      </c>
      <c r="O25" s="4" t="b">
        <f>IF($E25="1000m ",IF($D25="BeF",VLOOKUP($G25,BeF_Courses!$C$3:$I$52,7,FALSE),""))</f>
        <v>0</v>
      </c>
      <c r="P25" s="4" t="b">
        <f>IF($E25="50mH ",IF($D25="BeF",_xlfn.IFERROR(Q25,VLOOKUP(ROUNDUP($H25,1),BeF_Courses!$D$3:$I$52,6,TRUE)-1),Q25))</f>
        <v>0</v>
      </c>
      <c r="Q25" s="4" t="b">
        <f>IF($E25="50mH ",IF($D25="BeF",VLOOKUP($H25,BeF_Courses!$D$3:$I$52,6,FALSE),""))</f>
        <v>0</v>
      </c>
      <c r="R25" s="3" t="b">
        <f>IF($E25="200mH ",IF($D25="BeF",_xlfn.IFERROR(S25,VLOOKUP($I25,BeF_Courses!$E$3:$I$52,5,TRUE)-1),S25))</f>
        <v>0</v>
      </c>
      <c r="S25" s="26" t="str">
        <f>IF($E25="200mH ",IF($D25="BeF",VLOOKUP($I25,BeF_Courses!$E$3:$I$52,5,FALSE),""),"FAUX")</f>
        <v>FAUX</v>
      </c>
      <c r="T25" s="4" t="b">
        <f>IF($E25="2000m Marche ",IF($D25="BeF",_xlfn.IFERROR(U25,VLOOKUP($J25,BeF_Courses!$F$3:$I$52,4,TRUE)-1),U25))</f>
        <v>0</v>
      </c>
      <c r="U25" s="4" t="b">
        <f>IF($E25="2000m Marche ",IF($D25="BeF",VLOOKUP($J25,BeF_Courses!$F$3:$I$52,4,FALSE),""),FALSE)</f>
        <v>0</v>
      </c>
      <c r="V25" s="4" t="b">
        <f>IF($E25="50m ",IF($D25="BeM",_xlfn.IFERROR(W25,VLOOKUP($F25,BeM_Courses!$B$3:$I$52,8,TRUE)-1),W25))</f>
        <v>0</v>
      </c>
      <c r="W25" s="4" t="b">
        <f>IF($E25="50m ",IF($D25="BeM",VLOOKUP($F25,BeM_Courses!$B$3:$I$52,8,FALSE),""),FALSE)</f>
        <v>0</v>
      </c>
      <c r="X25" s="4" t="b">
        <f>IF($E25="1000m ",IF($D25="BeM",_xlfn.IFERROR(Y25,VLOOKUP($G25,BeM_Courses!$C$3:$I$52,7,TRUE)-1),Y25))</f>
        <v>0</v>
      </c>
      <c r="Y25" s="75" t="str">
        <f>IF($E25="1000m ",IF($D25="BeM",VLOOKUP($G25,BeM_Courses!$C$3:$I$52,7,FALSE),""),"FAUX")</f>
        <v>FAUX</v>
      </c>
      <c r="Z25" s="4" t="b">
        <f>IF($E25="50mH ",IF($D25="BeM",_xlfn.IFERROR(AA25,VLOOKUP($H25,BeM_Courses!$D$3:$I$52,6,"VRAI")-1),AA25))</f>
        <v>0</v>
      </c>
      <c r="AA25" s="75" t="str">
        <f>IF($E25="50mH ",IF($D25="BeM",VLOOKUP(H25,BeM_Courses!$D$3:$I$52,6,FALSE),""),"FAUX")</f>
        <v>FAUX</v>
      </c>
      <c r="AB25" s="75" t="str">
        <f>IF($E25="200mH ",IF($D25="BeM",_xlfn.IFERROR(AC25,VLOOKUP($I25,BeM_Courses!$E$3:$I$52,5,TRUE)-1),AC25),"FAUX")</f>
        <v>FAUX</v>
      </c>
      <c r="AC25" s="75" t="str">
        <f>IF($E25="200mH ",IF($D25="BeM",VLOOKUP($I25,BeM_Courses!$E$3:$I$52,5,FALSE),""),"FAUX")</f>
        <v>FAUX</v>
      </c>
      <c r="AD25" s="75" t="str">
        <f>IF($E25="2000m Marche ",IF($D25="BeM",_xlfn.IFERROR(AE25,VLOOKUP($J25,BeM_Courses!$F$3:$I$52,4,TRUE)-1),AE25),"FAUX")</f>
        <v>FAUX</v>
      </c>
      <c r="AE25" s="75" t="str">
        <f>IF($E25="2000m Marche ",IF($D25="BeM",VLOOKUP($J25,BeM_Courses!$F$3:$I$52,4,FALSE),""),"FAUX")</f>
        <v>FAUX</v>
      </c>
    </row>
    <row r="26" spans="1:31" ht="15">
      <c r="A26" s="60"/>
      <c r="B26" s="46"/>
      <c r="C26" s="70"/>
      <c r="D26" s="36" t="s">
        <v>52</v>
      </c>
      <c r="E26" s="37"/>
      <c r="F26" s="171"/>
      <c r="G26" s="167"/>
      <c r="H26" s="176"/>
      <c r="I26" s="176"/>
      <c r="J26" s="167"/>
      <c r="K26" s="82">
        <f t="shared" si="0"/>
        <v>0</v>
      </c>
      <c r="L26" s="25" t="b">
        <f>IF($E26="50m ",IF($D26="BeF",_xlfn.IFERROR(M26,VLOOKUP(ROUNDUP($F26,1),BeF_Courses!$B$3:$I$52,8,TRUE)-1),M26))</f>
        <v>0</v>
      </c>
      <c r="M26" s="32" t="b">
        <f>IF($E26="50m ",IF($D26="BeF",VLOOKUP($F26,BeF_Courses!$B$3:$I$52,8,FALSE),""))</f>
        <v>0</v>
      </c>
      <c r="N26" s="4" t="b">
        <f>IF($E26="1000m ",IF($D26="BeF",_xlfn.IFERROR(O26,VLOOKUP(ROUNDUP($G26,1),BeF_Courses!$C$3:$I$52,7,TRUE)-1),O26))</f>
        <v>0</v>
      </c>
      <c r="O26" s="4" t="b">
        <f>IF($E26="1000m ",IF($D26="BeF",VLOOKUP($G26,BeF_Courses!$C$3:$I$52,7,FALSE),""))</f>
        <v>0</v>
      </c>
      <c r="P26" s="4" t="b">
        <f>IF($E26="50mH ",IF($D26="BeF",_xlfn.IFERROR(Q26,VLOOKUP(ROUNDUP($H26,1),BeF_Courses!$D$3:$I$52,6,TRUE)-1),Q26))</f>
        <v>0</v>
      </c>
      <c r="Q26" s="4" t="b">
        <f>IF($E26="50mH ",IF($D26="BeF",VLOOKUP($H26,BeF_Courses!$D$3:$I$52,6,FALSE),""))</f>
        <v>0</v>
      </c>
      <c r="R26" s="3" t="b">
        <f>IF($E26="200mH ",IF($D26="BeF",_xlfn.IFERROR(S26,VLOOKUP($I26,BeF_Courses!$E$3:$I$52,5,TRUE)-1),S26))</f>
        <v>0</v>
      </c>
      <c r="S26" s="26" t="str">
        <f>IF($E26="200mH ",IF($D26="BeF",VLOOKUP($I26,BeF_Courses!$E$3:$I$52,5,FALSE),""),"FAUX")</f>
        <v>FAUX</v>
      </c>
      <c r="T26" s="4" t="b">
        <f>IF($E26="2000m Marche ",IF($D26="BeF",_xlfn.IFERROR(U26,VLOOKUP($J26,BeF_Courses!$F$3:$I$52,4,TRUE)-1),U26))</f>
        <v>0</v>
      </c>
      <c r="U26" s="4" t="b">
        <f>IF($E26="2000m Marche ",IF($D26="BeF",VLOOKUP($J26,BeF_Courses!$F$3:$I$52,4,FALSE),""),FALSE)</f>
        <v>0</v>
      </c>
      <c r="V26" s="4" t="b">
        <f>IF($E26="50m ",IF($D26="BeM",_xlfn.IFERROR(W26,VLOOKUP($F26,BeM_Courses!$B$3:$I$52,8,TRUE)-1),W26))</f>
        <v>0</v>
      </c>
      <c r="W26" s="4" t="b">
        <f>IF($E26="50m ",IF($D26="BeM",VLOOKUP($F26,BeM_Courses!$B$3:$I$52,8,FALSE),""),FALSE)</f>
        <v>0</v>
      </c>
      <c r="X26" s="4" t="b">
        <f>IF($E26="1000m ",IF($D26="BeM",_xlfn.IFERROR(Y26,VLOOKUP($G26,BeM_Courses!$C$3:$I$52,7,TRUE)-1),Y26))</f>
        <v>0</v>
      </c>
      <c r="Y26" s="75" t="str">
        <f>IF($E26="1000m ",IF($D26="BeM",VLOOKUP($G26,BeM_Courses!$C$3:$I$52,7,FALSE),""),"FAUX")</f>
        <v>FAUX</v>
      </c>
      <c r="Z26" s="4" t="b">
        <f>IF($E26="50mH ",IF($D26="BeM",_xlfn.IFERROR(AA26,VLOOKUP($H26,BeM_Courses!$D$3:$I$52,6,"VRAI")-1),AA26))</f>
        <v>0</v>
      </c>
      <c r="AA26" s="75" t="str">
        <f>IF($E26="50mH ",IF($D26="BeM",VLOOKUP(H26,BeM_Courses!$D$3:$I$52,6,FALSE),""),"FAUX")</f>
        <v>FAUX</v>
      </c>
      <c r="AB26" s="75" t="str">
        <f>IF($E26="200mH ",IF($D26="BeM",_xlfn.IFERROR(AC26,VLOOKUP($I26,BeM_Courses!$E$3:$I$52,5,TRUE)-1),AC26),"FAUX")</f>
        <v>FAUX</v>
      </c>
      <c r="AC26" s="75" t="str">
        <f>IF($E26="200mH ",IF($D26="BeM",VLOOKUP($I26,BeM_Courses!$E$3:$I$52,5,FALSE),""),"FAUX")</f>
        <v>FAUX</v>
      </c>
      <c r="AD26" s="75" t="str">
        <f>IF($E26="2000m Marche ",IF($D26="BeM",_xlfn.IFERROR(AE26,VLOOKUP($J26,BeM_Courses!$F$3:$I$52,4,TRUE)-1),AE26),"FAUX")</f>
        <v>FAUX</v>
      </c>
      <c r="AE26" s="75" t="str">
        <f>IF($E26="2000m Marche ",IF($D26="BeM",VLOOKUP($J26,BeM_Courses!$F$3:$I$52,4,FALSE),""),"FAUX")</f>
        <v>FAUX</v>
      </c>
    </row>
    <row r="27" spans="1:31" ht="15">
      <c r="A27" s="60"/>
      <c r="B27" s="46"/>
      <c r="C27" s="70"/>
      <c r="D27" s="36" t="s">
        <v>52</v>
      </c>
      <c r="E27" s="37"/>
      <c r="F27" s="171"/>
      <c r="G27" s="167"/>
      <c r="H27" s="176"/>
      <c r="I27" s="176"/>
      <c r="J27" s="167"/>
      <c r="K27" s="82">
        <f t="shared" si="0"/>
        <v>0</v>
      </c>
      <c r="L27" s="25" t="b">
        <f>IF($E27="50m ",IF($D27="BeF",_xlfn.IFERROR(M27,VLOOKUP(ROUNDUP($F27,1),BeF_Courses!$B$3:$I$52,8,TRUE)-1),M27))</f>
        <v>0</v>
      </c>
      <c r="M27" s="32" t="b">
        <f>IF($E27="50m ",IF($D27="BeF",VLOOKUP($F27,BeF_Courses!$B$3:$I$52,8,FALSE),""))</f>
        <v>0</v>
      </c>
      <c r="N27" s="4" t="b">
        <f>IF($E27="1000m ",IF($D27="BeF",_xlfn.IFERROR(O27,VLOOKUP(ROUNDUP($G27,1),BeF_Courses!$C$3:$I$52,7,TRUE)-1),O27))</f>
        <v>0</v>
      </c>
      <c r="O27" s="4" t="b">
        <f>IF($E27="1000m ",IF($D27="BeF",VLOOKUP($G27,BeF_Courses!$C$3:$I$52,7,FALSE),""))</f>
        <v>0</v>
      </c>
      <c r="P27" s="4" t="b">
        <f>IF($E27="50mH ",IF($D27="BeF",_xlfn.IFERROR(Q27,VLOOKUP(ROUNDUP($H27,1),BeF_Courses!$D$3:$I$52,6,TRUE)-1),Q27))</f>
        <v>0</v>
      </c>
      <c r="Q27" s="4" t="b">
        <f>IF($E27="50mH ",IF($D27="BeF",VLOOKUP($H27,BeF_Courses!$D$3:$I$52,6,FALSE),""))</f>
        <v>0</v>
      </c>
      <c r="R27" s="3" t="b">
        <f>IF($E27="200mH ",IF($D27="BeF",_xlfn.IFERROR(S27,VLOOKUP($I27,BeF_Courses!$E$3:$I$52,5,TRUE)-1),S27))</f>
        <v>0</v>
      </c>
      <c r="S27" s="26" t="str">
        <f>IF($E27="200mH ",IF($D27="BeF",VLOOKUP($I27,BeF_Courses!$E$3:$I$52,5,FALSE),""),"FAUX")</f>
        <v>FAUX</v>
      </c>
      <c r="T27" s="4" t="b">
        <f>IF($E27="2000m Marche ",IF($D27="BeF",_xlfn.IFERROR(U27,VLOOKUP($J27,BeF_Courses!$F$3:$I$52,4,TRUE)-1),U27))</f>
        <v>0</v>
      </c>
      <c r="U27" s="4" t="b">
        <f>IF($E27="2000m Marche ",IF($D27="BeF",VLOOKUP($J27,BeF_Courses!$F$3:$I$52,4,FALSE),""),FALSE)</f>
        <v>0</v>
      </c>
      <c r="V27" s="4" t="b">
        <f>IF($E27="50m ",IF($D27="BeM",_xlfn.IFERROR(W27,VLOOKUP($F27,BeM_Courses!$B$3:$I$52,8,TRUE)-1),W27))</f>
        <v>0</v>
      </c>
      <c r="W27" s="4" t="b">
        <f>IF($E27="50m ",IF($D27="BeM",VLOOKUP($F27,BeM_Courses!$B$3:$I$52,8,FALSE),""),FALSE)</f>
        <v>0</v>
      </c>
      <c r="X27" s="4" t="b">
        <f>IF($E27="1000m ",IF($D27="BeM",_xlfn.IFERROR(Y27,VLOOKUP($G27,BeM_Courses!$C$3:$I$52,7,TRUE)-1),Y27))</f>
        <v>0</v>
      </c>
      <c r="Y27" s="75" t="str">
        <f>IF($E27="1000m ",IF($D27="BeM",VLOOKUP($G27,BeM_Courses!$C$3:$I$52,7,FALSE),""),"FAUX")</f>
        <v>FAUX</v>
      </c>
      <c r="Z27" s="4" t="b">
        <f>IF($E27="50mH ",IF($D27="BeM",_xlfn.IFERROR(AA27,VLOOKUP($H27,BeM_Courses!$D$3:$I$52,6,"VRAI")-1),AA27))</f>
        <v>0</v>
      </c>
      <c r="AA27" s="75" t="str">
        <f>IF($E27="50mH ",IF($D27="BeM",VLOOKUP(H27,BeM_Courses!$D$3:$I$52,6,FALSE),""),"FAUX")</f>
        <v>FAUX</v>
      </c>
      <c r="AB27" s="75" t="str">
        <f>IF($E27="200mH ",IF($D27="BeM",_xlfn.IFERROR(AC27,VLOOKUP($I27,BeM_Courses!$E$3:$I$52,5,TRUE)-1),AC27),"FAUX")</f>
        <v>FAUX</v>
      </c>
      <c r="AC27" s="75" t="str">
        <f>IF($E27="200mH ",IF($D27="BeM",VLOOKUP($I27,BeM_Courses!$E$3:$I$52,5,FALSE),""),"FAUX")</f>
        <v>FAUX</v>
      </c>
      <c r="AD27" s="75" t="str">
        <f>IF($E27="2000m Marche ",IF($D27="BeM",_xlfn.IFERROR(AE27,VLOOKUP($J27,BeM_Courses!$F$3:$I$52,4,TRUE)-1),AE27),"FAUX")</f>
        <v>FAUX</v>
      </c>
      <c r="AE27" s="75" t="str">
        <f>IF($E27="2000m Marche ",IF($D27="BeM",VLOOKUP($J27,BeM_Courses!$F$3:$I$52,4,FALSE),""),"FAUX")</f>
        <v>FAUX</v>
      </c>
    </row>
    <row r="28" spans="1:31" ht="15">
      <c r="A28" s="60"/>
      <c r="B28" s="46"/>
      <c r="C28" s="70"/>
      <c r="D28" s="36" t="s">
        <v>52</v>
      </c>
      <c r="E28" s="37"/>
      <c r="F28" s="171"/>
      <c r="G28" s="167"/>
      <c r="H28" s="176"/>
      <c r="I28" s="176"/>
      <c r="J28" s="167"/>
      <c r="K28" s="82">
        <f t="shared" si="0"/>
        <v>0</v>
      </c>
      <c r="L28" s="25" t="b">
        <f>IF($E28="50m ",IF($D28="BeF",_xlfn.IFERROR(M28,VLOOKUP(ROUNDUP($F28,1),BeF_Courses!$B$3:$I$52,8,TRUE)-1),M28))</f>
        <v>0</v>
      </c>
      <c r="M28" s="32" t="b">
        <f>IF($E28="50m ",IF($D28="BeF",VLOOKUP($F28,BeF_Courses!$B$3:$I$52,8,FALSE),""))</f>
        <v>0</v>
      </c>
      <c r="N28" s="4" t="b">
        <f>IF($E28="1000m ",IF($D28="BeF",_xlfn.IFERROR(O28,VLOOKUP(ROUNDUP($G28,1),BeF_Courses!$C$3:$I$52,7,TRUE)-1),O28))</f>
        <v>0</v>
      </c>
      <c r="O28" s="4" t="b">
        <f>IF($E28="1000m ",IF($D28="BeF",VLOOKUP($G28,BeF_Courses!$C$3:$I$52,7,FALSE),""))</f>
        <v>0</v>
      </c>
      <c r="P28" s="4" t="b">
        <f>IF($E28="50mH ",IF($D28="BeF",_xlfn.IFERROR(Q28,VLOOKUP(ROUNDUP($H28,1),BeF_Courses!$D$3:$I$52,6,TRUE)-1),Q28))</f>
        <v>0</v>
      </c>
      <c r="Q28" s="4" t="b">
        <f>IF($E28="50mH ",IF($D28="BeF",VLOOKUP($H28,BeF_Courses!$D$3:$I$52,6,FALSE),""))</f>
        <v>0</v>
      </c>
      <c r="R28" s="3" t="b">
        <f>IF($E28="200mH ",IF($D28="BeF",_xlfn.IFERROR(S28,VLOOKUP($I28,BeF_Courses!$E$3:$I$52,5,TRUE)-1),S28))</f>
        <v>0</v>
      </c>
      <c r="S28" s="26" t="str">
        <f>IF($E28="200mH ",IF($D28="BeF",VLOOKUP($I28,BeF_Courses!$E$3:$I$52,5,FALSE),""),"FAUX")</f>
        <v>FAUX</v>
      </c>
      <c r="T28" s="4" t="b">
        <f>IF($E28="2000m Marche ",IF($D28="BeF",_xlfn.IFERROR(U28,VLOOKUP($J28,BeF_Courses!$F$3:$I$52,4,TRUE)-1),U28))</f>
        <v>0</v>
      </c>
      <c r="U28" s="4" t="b">
        <f>IF($E28="2000m Marche ",IF($D28="BeF",VLOOKUP($J28,BeF_Courses!$F$3:$I$52,4,FALSE),""),FALSE)</f>
        <v>0</v>
      </c>
      <c r="V28" s="4" t="b">
        <f>IF($E28="50m ",IF($D28="BeM",_xlfn.IFERROR(W28,VLOOKUP($F28,BeM_Courses!$B$3:$I$52,8,TRUE)-1),W28))</f>
        <v>0</v>
      </c>
      <c r="W28" s="4" t="b">
        <f>IF($E28="50m ",IF($D28="BeM",VLOOKUP($F28,BeM_Courses!$B$3:$I$52,8,FALSE),""),FALSE)</f>
        <v>0</v>
      </c>
      <c r="X28" s="4" t="b">
        <f>IF($E28="1000m ",IF($D28="BeM",_xlfn.IFERROR(Y28,VLOOKUP($G28,BeM_Courses!$C$3:$I$52,7,TRUE)-1),Y28))</f>
        <v>0</v>
      </c>
      <c r="Y28" s="75" t="str">
        <f>IF($E28="1000m ",IF($D28="BeM",VLOOKUP($G28,BeM_Courses!$C$3:$I$52,7,FALSE),""),"FAUX")</f>
        <v>FAUX</v>
      </c>
      <c r="Z28" s="4" t="b">
        <f>IF($E28="50mH ",IF($D28="BeM",_xlfn.IFERROR(AA28,VLOOKUP($H28,BeM_Courses!$D$3:$I$52,6,"VRAI")-1),AA28))</f>
        <v>0</v>
      </c>
      <c r="AA28" s="75" t="str">
        <f>IF($E28="50mH ",IF($D28="BeM",VLOOKUP(H28,BeM_Courses!$D$3:$I$52,6,FALSE),""),"FAUX")</f>
        <v>FAUX</v>
      </c>
      <c r="AB28" s="75" t="str">
        <f>IF($E28="200mH ",IF($D28="BeM",_xlfn.IFERROR(AC28,VLOOKUP($I28,BeM_Courses!$E$3:$I$52,5,TRUE)-1),AC28),"FAUX")</f>
        <v>FAUX</v>
      </c>
      <c r="AC28" s="75" t="str">
        <f>IF($E28="200mH ",IF($D28="BeM",VLOOKUP($I28,BeM_Courses!$E$3:$I$52,5,FALSE),""),"FAUX")</f>
        <v>FAUX</v>
      </c>
      <c r="AD28" s="75" t="str">
        <f>IF($E28="2000m Marche ",IF($D28="BeM",_xlfn.IFERROR(AE28,VLOOKUP($J28,BeM_Courses!$F$3:$I$52,4,TRUE)-1),AE28),"FAUX")</f>
        <v>FAUX</v>
      </c>
      <c r="AE28" s="75" t="str">
        <f>IF($E28="2000m Marche ",IF($D28="BeM",VLOOKUP($J28,BeM_Courses!$F$3:$I$52,4,FALSE),""),"FAUX")</f>
        <v>FAUX</v>
      </c>
    </row>
    <row r="29" spans="1:31" ht="15">
      <c r="A29" s="60"/>
      <c r="B29" s="46"/>
      <c r="C29" s="70"/>
      <c r="D29" s="36" t="s">
        <v>52</v>
      </c>
      <c r="E29" s="37"/>
      <c r="F29" s="171"/>
      <c r="G29" s="167"/>
      <c r="H29" s="176"/>
      <c r="I29" s="176"/>
      <c r="J29" s="167"/>
      <c r="K29" s="82">
        <f t="shared" si="0"/>
        <v>0</v>
      </c>
      <c r="L29" s="25" t="b">
        <f>IF($E29="50m ",IF($D29="BeF",_xlfn.IFERROR(M29,VLOOKUP(ROUNDUP($F29,1),BeF_Courses!$B$3:$I$52,8,TRUE)-1),M29))</f>
        <v>0</v>
      </c>
      <c r="M29" s="32" t="b">
        <f>IF($E29="50m ",IF($D29="BeF",VLOOKUP($F29,BeF_Courses!$B$3:$I$52,8,FALSE),""))</f>
        <v>0</v>
      </c>
      <c r="N29" s="4" t="b">
        <f>IF($E29="1000m ",IF($D29="BeF",_xlfn.IFERROR(O29,VLOOKUP(ROUNDUP($G29,1),BeF_Courses!$C$3:$I$52,7,TRUE)-1),O29))</f>
        <v>0</v>
      </c>
      <c r="O29" s="4" t="b">
        <f>IF($E29="1000m ",IF($D29="BeF",VLOOKUP($G29,BeF_Courses!$C$3:$I$52,7,FALSE),""))</f>
        <v>0</v>
      </c>
      <c r="P29" s="4" t="b">
        <f>IF($E29="50mH ",IF($D29="BeF",_xlfn.IFERROR(Q29,VLOOKUP(ROUNDUP($H29,1),BeF_Courses!$D$3:$I$52,6,TRUE)-1),Q29))</f>
        <v>0</v>
      </c>
      <c r="Q29" s="4" t="b">
        <f>IF($E29="50mH ",IF($D29="BeF",VLOOKUP($H29,BeF_Courses!$D$3:$I$52,6,FALSE),""))</f>
        <v>0</v>
      </c>
      <c r="R29" s="3" t="b">
        <f>IF($E29="200mH ",IF($D29="BeF",_xlfn.IFERROR(S29,VLOOKUP($I29,BeF_Courses!$E$3:$I$52,5,TRUE)-1),S29))</f>
        <v>0</v>
      </c>
      <c r="S29" s="26" t="str">
        <f>IF($E29="200mH ",IF($D29="BeF",VLOOKUP($I29,BeF_Courses!$E$3:$I$52,5,FALSE),""),"FAUX")</f>
        <v>FAUX</v>
      </c>
      <c r="T29" s="4" t="b">
        <f>IF($E29="2000m Marche ",IF($D29="BeF",_xlfn.IFERROR(U29,VLOOKUP($J29,BeF_Courses!$F$3:$I$52,4,TRUE)-1),U29))</f>
        <v>0</v>
      </c>
      <c r="U29" s="4" t="b">
        <f>IF($E29="2000m Marche ",IF($D29="BeF",VLOOKUP($J29,BeF_Courses!$F$3:$I$52,4,FALSE),""),FALSE)</f>
        <v>0</v>
      </c>
      <c r="V29" s="4" t="b">
        <f>IF($E29="50m ",IF($D29="BeM",_xlfn.IFERROR(W29,VLOOKUP($F29,BeM_Courses!$B$3:$I$52,8,TRUE)-1),W29))</f>
        <v>0</v>
      </c>
      <c r="W29" s="4" t="b">
        <f>IF($E29="50m ",IF($D29="BeM",VLOOKUP($F29,BeM_Courses!$B$3:$I$52,8,FALSE),""),FALSE)</f>
        <v>0</v>
      </c>
      <c r="X29" s="4" t="b">
        <f>IF($E29="1000m ",IF($D29="BeM",_xlfn.IFERROR(Y29,VLOOKUP($G29,BeM_Courses!$C$3:$I$52,7,TRUE)-1),Y29))</f>
        <v>0</v>
      </c>
      <c r="Y29" s="75" t="str">
        <f>IF($E29="1000m ",IF($D29="BeM",VLOOKUP($G29,BeM_Courses!$C$3:$I$52,7,FALSE),""),"FAUX")</f>
        <v>FAUX</v>
      </c>
      <c r="Z29" s="4" t="b">
        <f>IF($E29="50mH ",IF($D29="BeM",_xlfn.IFERROR(AA29,VLOOKUP($H29,BeM_Courses!$D$3:$I$52,6,"VRAI")-1),AA29))</f>
        <v>0</v>
      </c>
      <c r="AA29" s="75" t="str">
        <f>IF($E29="50mH ",IF($D29="BeM",VLOOKUP(H29,BeM_Courses!$D$3:$I$52,6,FALSE),""),"FAUX")</f>
        <v>FAUX</v>
      </c>
      <c r="AB29" s="75" t="str">
        <f>IF($E29="200mH ",IF($D29="BeM",_xlfn.IFERROR(AC29,VLOOKUP($I29,BeM_Courses!$E$3:$I$52,5,TRUE)-1),AC29),"FAUX")</f>
        <v>FAUX</v>
      </c>
      <c r="AC29" s="75" t="str">
        <f>IF($E29="200mH ",IF($D29="BeM",VLOOKUP($I29,BeM_Courses!$E$3:$I$52,5,FALSE),""),"FAUX")</f>
        <v>FAUX</v>
      </c>
      <c r="AD29" s="75" t="str">
        <f>IF($E29="2000m Marche ",IF($D29="BeM",_xlfn.IFERROR(AE29,VLOOKUP($J29,BeM_Courses!$F$3:$I$52,4,TRUE)-1),AE29),"FAUX")</f>
        <v>FAUX</v>
      </c>
      <c r="AE29" s="75" t="str">
        <f>IF($E29="2000m Marche ",IF($D29="BeM",VLOOKUP($J29,BeM_Courses!$F$3:$I$52,4,FALSE),""),"FAUX")</f>
        <v>FAUX</v>
      </c>
    </row>
    <row r="30" spans="1:31" ht="15">
      <c r="A30" s="60"/>
      <c r="B30" s="46"/>
      <c r="C30" s="70"/>
      <c r="D30" s="36" t="s">
        <v>52</v>
      </c>
      <c r="E30" s="37"/>
      <c r="F30" s="171"/>
      <c r="G30" s="167"/>
      <c r="H30" s="176"/>
      <c r="I30" s="176"/>
      <c r="J30" s="167"/>
      <c r="K30" s="82">
        <f t="shared" si="0"/>
        <v>0</v>
      </c>
      <c r="L30" s="25" t="b">
        <f>IF($E30="50m ",IF($D30="BeF",_xlfn.IFERROR(M30,VLOOKUP(ROUNDUP($F30,1),BeF_Courses!$B$3:$I$52,8,TRUE)-1),M30))</f>
        <v>0</v>
      </c>
      <c r="M30" s="32" t="b">
        <f>IF($E30="50m ",IF($D30="BeF",VLOOKUP($F30,BeF_Courses!$B$3:$I$52,8,FALSE),""))</f>
        <v>0</v>
      </c>
      <c r="N30" s="4" t="b">
        <f>IF($E30="1000m ",IF($D30="BeF",_xlfn.IFERROR(O30,VLOOKUP(ROUNDUP($G30,1),BeF_Courses!$C$3:$I$52,7,TRUE)-1),O30))</f>
        <v>0</v>
      </c>
      <c r="O30" s="4" t="b">
        <f>IF($E30="1000m ",IF($D30="BeF",VLOOKUP($G30,BeF_Courses!$C$3:$I$52,7,FALSE),""))</f>
        <v>0</v>
      </c>
      <c r="P30" s="4" t="b">
        <f>IF($E30="50mH ",IF($D30="BeF",_xlfn.IFERROR(Q30,VLOOKUP(ROUNDUP($H30,1),BeF_Courses!$D$3:$I$52,6,TRUE)-1),Q30))</f>
        <v>0</v>
      </c>
      <c r="Q30" s="4" t="b">
        <f>IF($E30="50mH ",IF($D30="BeF",VLOOKUP($H30,BeF_Courses!$D$3:$I$52,6,FALSE),""))</f>
        <v>0</v>
      </c>
      <c r="R30" s="3" t="b">
        <f>IF($E30="200mH ",IF($D30="BeF",_xlfn.IFERROR(S30,VLOOKUP($I30,BeF_Courses!$E$3:$I$52,5,TRUE)-1),S30))</f>
        <v>0</v>
      </c>
      <c r="S30" s="26" t="str">
        <f>IF($E30="200mH ",IF($D30="BeF",VLOOKUP($I30,BeF_Courses!$E$3:$I$52,5,FALSE),""),"FAUX")</f>
        <v>FAUX</v>
      </c>
      <c r="T30" s="4" t="b">
        <f>IF($E30="2000m Marche ",IF($D30="BeF",_xlfn.IFERROR(U30,VLOOKUP($J30,BeF_Courses!$F$3:$I$52,4,TRUE)-1),U30))</f>
        <v>0</v>
      </c>
      <c r="U30" s="4" t="b">
        <f>IF($E30="2000m Marche ",IF($D30="BeF",VLOOKUP($J30,BeF_Courses!$F$3:$I$52,4,FALSE),""),FALSE)</f>
        <v>0</v>
      </c>
      <c r="V30" s="4" t="b">
        <f>IF($E30="50m ",IF($D30="BeM",_xlfn.IFERROR(W30,VLOOKUP($F30,BeM_Courses!$B$3:$I$52,8,TRUE)-1),W30))</f>
        <v>0</v>
      </c>
      <c r="W30" s="4" t="b">
        <f>IF($E30="50m ",IF($D30="BeM",VLOOKUP($F30,BeM_Courses!$B$3:$I$52,8,FALSE),""),FALSE)</f>
        <v>0</v>
      </c>
      <c r="X30" s="4" t="b">
        <f>IF($E30="1000m ",IF($D30="BeM",_xlfn.IFERROR(Y30,VLOOKUP($G30,BeM_Courses!$C$3:$I$52,7,TRUE)-1),Y30))</f>
        <v>0</v>
      </c>
      <c r="Y30" s="75" t="str">
        <f>IF($E30="1000m ",IF($D30="BeM",VLOOKUP($G30,BeM_Courses!$C$3:$I$52,7,FALSE),""),"FAUX")</f>
        <v>FAUX</v>
      </c>
      <c r="Z30" s="4" t="b">
        <f>IF($E30="50mH ",IF($D30="BeM",_xlfn.IFERROR(AA30,VLOOKUP($H30,BeM_Courses!$D$3:$I$52,6,"VRAI")-1),AA30))</f>
        <v>0</v>
      </c>
      <c r="AA30" s="75" t="str">
        <f>IF($E30="50mH ",IF($D30="BeM",VLOOKUP(H30,BeM_Courses!$D$3:$I$52,6,FALSE),""),"FAUX")</f>
        <v>FAUX</v>
      </c>
      <c r="AB30" s="75" t="str">
        <f>IF($E30="200mH ",IF($D30="BeM",_xlfn.IFERROR(AC30,VLOOKUP($I30,BeM_Courses!$E$3:$I$52,5,TRUE)-1),AC30),"FAUX")</f>
        <v>FAUX</v>
      </c>
      <c r="AC30" s="75" t="str">
        <f>IF($E30="200mH ",IF($D30="BeM",VLOOKUP($I30,BeM_Courses!$E$3:$I$52,5,FALSE),""),"FAUX")</f>
        <v>FAUX</v>
      </c>
      <c r="AD30" s="75" t="str">
        <f>IF($E30="2000m Marche ",IF($D30="BeM",_xlfn.IFERROR(AE30,VLOOKUP($J30,BeM_Courses!$F$3:$I$52,4,TRUE)-1),AE30),"FAUX")</f>
        <v>FAUX</v>
      </c>
      <c r="AE30" s="75" t="str">
        <f>IF($E30="2000m Marche ",IF($D30="BeM",VLOOKUP($J30,BeM_Courses!$F$3:$I$52,4,FALSE),""),"FAUX")</f>
        <v>FAUX</v>
      </c>
    </row>
    <row r="31" spans="1:31" ht="15">
      <c r="A31" s="60"/>
      <c r="B31" s="46"/>
      <c r="C31" s="70"/>
      <c r="D31" s="36" t="s">
        <v>52</v>
      </c>
      <c r="E31" s="37"/>
      <c r="F31" s="171"/>
      <c r="G31" s="167"/>
      <c r="H31" s="176"/>
      <c r="I31" s="176"/>
      <c r="J31" s="167"/>
      <c r="K31" s="82">
        <f t="shared" si="0"/>
        <v>0</v>
      </c>
      <c r="L31" s="25" t="b">
        <f>IF($E31="50m ",IF($D31="BeF",_xlfn.IFERROR(M31,VLOOKUP(ROUNDUP($F31,1),BeF_Courses!$B$3:$I$52,8,TRUE)-1),M31))</f>
        <v>0</v>
      </c>
      <c r="M31" s="32" t="b">
        <f>IF($E31="50m ",IF($D31="BeF",VLOOKUP($F31,BeF_Courses!$B$3:$I$52,8,FALSE),""))</f>
        <v>0</v>
      </c>
      <c r="N31" s="4" t="b">
        <f>IF($E31="1000m ",IF($D31="BeF",_xlfn.IFERROR(O31,VLOOKUP(ROUNDUP($G31,1),BeF_Courses!$C$3:$I$52,7,TRUE)-1),O31))</f>
        <v>0</v>
      </c>
      <c r="O31" s="4" t="b">
        <f>IF($E31="1000m ",IF($D31="BeF",VLOOKUP($G31,BeF_Courses!$C$3:$I$52,7,FALSE),""))</f>
        <v>0</v>
      </c>
      <c r="P31" s="4" t="b">
        <f>IF($E31="50mH ",IF($D31="BeF",_xlfn.IFERROR(Q31,VLOOKUP(ROUNDUP($H31,1),BeF_Courses!$D$3:$I$52,6,TRUE)-1),Q31))</f>
        <v>0</v>
      </c>
      <c r="Q31" s="4" t="b">
        <f>IF($E31="50mH ",IF($D31="BeF",VLOOKUP($H31,BeF_Courses!$D$3:$I$52,6,FALSE),""))</f>
        <v>0</v>
      </c>
      <c r="R31" s="3" t="b">
        <f>IF($E31="200mH ",IF($D31="BeF",_xlfn.IFERROR(S31,VLOOKUP($I31,BeF_Courses!$E$3:$I$52,5,TRUE)-1),S31))</f>
        <v>0</v>
      </c>
      <c r="S31" s="26" t="str">
        <f>IF($E31="200mH ",IF($D31="BeF",VLOOKUP($I31,BeF_Courses!$E$3:$I$52,5,FALSE),""),"FAUX")</f>
        <v>FAUX</v>
      </c>
      <c r="T31" s="4" t="b">
        <f>IF($E31="2000m Marche ",IF($D31="BeF",_xlfn.IFERROR(U31,VLOOKUP($J31,BeF_Courses!$F$3:$I$52,4,TRUE)-1),U31))</f>
        <v>0</v>
      </c>
      <c r="U31" s="4" t="b">
        <f>IF($E31="2000m Marche ",IF($D31="BeF",VLOOKUP($J31,BeF_Courses!$F$3:$I$52,4,FALSE),""),FALSE)</f>
        <v>0</v>
      </c>
      <c r="V31" s="4" t="b">
        <f>IF($E31="50m ",IF($D31="BeM",_xlfn.IFERROR(W31,VLOOKUP($F31,BeM_Courses!$B$3:$I$52,8,TRUE)-1),W31))</f>
        <v>0</v>
      </c>
      <c r="W31" s="4" t="b">
        <f>IF($E31="50m ",IF($D31="BeM",VLOOKUP($F31,BeM_Courses!$B$3:$I$52,8,FALSE),""),FALSE)</f>
        <v>0</v>
      </c>
      <c r="X31" s="4" t="b">
        <f>IF($E31="1000m ",IF($D31="BeM",_xlfn.IFERROR(Y31,VLOOKUP($G31,BeM_Courses!$C$3:$I$52,7,TRUE)-1),Y31))</f>
        <v>0</v>
      </c>
      <c r="Y31" s="75" t="str">
        <f>IF($E31="1000m ",IF($D31="BeM",VLOOKUP($G31,BeM_Courses!$C$3:$I$52,7,FALSE),""),"FAUX")</f>
        <v>FAUX</v>
      </c>
      <c r="Z31" s="4" t="b">
        <f>IF($E31="50mH ",IF($D31="BeM",_xlfn.IFERROR(AA31,VLOOKUP($H31,BeM_Courses!$D$3:$I$52,6,"VRAI")-1),AA31))</f>
        <v>0</v>
      </c>
      <c r="AA31" s="75" t="str">
        <f>IF($E31="50mH ",IF($D31="BeM",VLOOKUP(H31,BeM_Courses!$D$3:$I$52,6,FALSE),""),"FAUX")</f>
        <v>FAUX</v>
      </c>
      <c r="AB31" s="75" t="str">
        <f>IF($E31="200mH ",IF($D31="BeM",_xlfn.IFERROR(AC31,VLOOKUP($I31,BeM_Courses!$E$3:$I$52,5,TRUE)-1),AC31),"FAUX")</f>
        <v>FAUX</v>
      </c>
      <c r="AC31" s="75" t="str">
        <f>IF($E31="200mH ",IF($D31="BeM",VLOOKUP($I31,BeM_Courses!$E$3:$I$52,5,FALSE),""),"FAUX")</f>
        <v>FAUX</v>
      </c>
      <c r="AD31" s="75" t="str">
        <f>IF($E31="2000m Marche ",IF($D31="BeM",_xlfn.IFERROR(AE31,VLOOKUP($J31,BeM_Courses!$F$3:$I$52,4,TRUE)-1),AE31),"FAUX")</f>
        <v>FAUX</v>
      </c>
      <c r="AE31" s="75" t="str">
        <f>IF($E31="2000m Marche ",IF($D31="BeM",VLOOKUP($J31,BeM_Courses!$F$3:$I$52,4,FALSE),""),"FAUX")</f>
        <v>FAUX</v>
      </c>
    </row>
    <row r="32" spans="1:31" ht="15">
      <c r="A32" s="60"/>
      <c r="B32" s="46"/>
      <c r="C32" s="70"/>
      <c r="D32" s="36" t="s">
        <v>52</v>
      </c>
      <c r="E32" s="37"/>
      <c r="F32" s="171"/>
      <c r="G32" s="167"/>
      <c r="H32" s="176"/>
      <c r="I32" s="176"/>
      <c r="J32" s="167"/>
      <c r="K32" s="82">
        <f t="shared" si="0"/>
        <v>0</v>
      </c>
      <c r="L32" s="25" t="b">
        <f>IF($E32="50m ",IF($D32="BeF",_xlfn.IFERROR(M32,VLOOKUP(ROUNDUP($F32,1),BeF_Courses!$B$3:$I$52,8,TRUE)-1),M32))</f>
        <v>0</v>
      </c>
      <c r="M32" s="32" t="b">
        <f>IF($E32="50m ",IF($D32="BeF",VLOOKUP($F32,BeF_Courses!$B$3:$I$52,8,FALSE),""))</f>
        <v>0</v>
      </c>
      <c r="N32" s="4" t="b">
        <f>IF($E32="1000m ",IF($D32="BeF",_xlfn.IFERROR(O32,VLOOKUP(ROUNDUP($G32,1),BeF_Courses!$C$3:$I$52,7,TRUE)-1),O32))</f>
        <v>0</v>
      </c>
      <c r="O32" s="4" t="b">
        <f>IF($E32="1000m ",IF($D32="BeF",VLOOKUP($G32,BeF_Courses!$C$3:$I$52,7,FALSE),""))</f>
        <v>0</v>
      </c>
      <c r="P32" s="4" t="b">
        <f>IF($E32="50mH ",IF($D32="BeF",_xlfn.IFERROR(Q32,VLOOKUP(ROUNDUP($H32,1),BeF_Courses!$D$3:$I$52,6,TRUE)-1),Q32))</f>
        <v>0</v>
      </c>
      <c r="Q32" s="4" t="b">
        <f>IF($E32="50mH ",IF($D32="BeF",VLOOKUP($H32,BeF_Courses!$D$3:$I$52,6,FALSE),""))</f>
        <v>0</v>
      </c>
      <c r="R32" s="3" t="b">
        <f>IF($E32="200mH ",IF($D32="BeF",_xlfn.IFERROR(S32,VLOOKUP($I32,BeF_Courses!$E$3:$I$52,5,TRUE)-1),S32))</f>
        <v>0</v>
      </c>
      <c r="S32" s="26" t="str">
        <f>IF($E32="200mH ",IF($D32="BeF",VLOOKUP($I32,BeF_Courses!$E$3:$I$52,5,FALSE),""),"FAUX")</f>
        <v>FAUX</v>
      </c>
      <c r="T32" s="4" t="b">
        <f>IF($E32="2000m Marche ",IF($D32="BeF",_xlfn.IFERROR(U32,VLOOKUP($J32,BeF_Courses!$F$3:$I$52,4,TRUE)-1),U32))</f>
        <v>0</v>
      </c>
      <c r="U32" s="4" t="b">
        <f>IF($E32="2000m Marche ",IF($D32="BeF",VLOOKUP($J32,BeF_Courses!$F$3:$I$52,4,FALSE),""),FALSE)</f>
        <v>0</v>
      </c>
      <c r="V32" s="4" t="b">
        <f>IF($E32="50m ",IF($D32="BeM",_xlfn.IFERROR(W32,VLOOKUP($F32,BeM_Courses!$B$3:$I$52,8,TRUE)-1),W32))</f>
        <v>0</v>
      </c>
      <c r="W32" s="4" t="b">
        <f>IF($E32="50m ",IF($D32="BeM",VLOOKUP($F32,BeM_Courses!$B$3:$I$52,8,FALSE),""),FALSE)</f>
        <v>0</v>
      </c>
      <c r="X32" s="4" t="b">
        <f>IF($E32="1000m ",IF($D32="BeM",_xlfn.IFERROR(Y32,VLOOKUP($G32,BeM_Courses!$C$3:$I$52,7,TRUE)-1),Y32))</f>
        <v>0</v>
      </c>
      <c r="Y32" s="75" t="str">
        <f>IF($E32="1000m ",IF($D32="BeM",VLOOKUP($G32,BeM_Courses!$C$3:$I$52,7,FALSE),""),"FAUX")</f>
        <v>FAUX</v>
      </c>
      <c r="Z32" s="4" t="b">
        <f>IF($E32="50mH ",IF($D32="BeM",_xlfn.IFERROR(AA32,VLOOKUP($H32,BeM_Courses!$D$3:$I$52,6,"VRAI")-1),AA32))</f>
        <v>0</v>
      </c>
      <c r="AA32" s="75" t="str">
        <f>IF($E32="50mH ",IF($D32="BeM",VLOOKUP(H32,BeM_Courses!$D$3:$I$52,6,FALSE),""),"FAUX")</f>
        <v>FAUX</v>
      </c>
      <c r="AB32" s="75" t="str">
        <f>IF($E32="200mH ",IF($D32="BeM",_xlfn.IFERROR(AC32,VLOOKUP($I32,BeM_Courses!$E$3:$I$52,5,TRUE)-1),AC32),"FAUX")</f>
        <v>FAUX</v>
      </c>
      <c r="AC32" s="75" t="str">
        <f>IF($E32="200mH ",IF($D32="BeM",VLOOKUP($I32,BeM_Courses!$E$3:$I$52,5,FALSE),""),"FAUX")</f>
        <v>FAUX</v>
      </c>
      <c r="AD32" s="75" t="str">
        <f>IF($E32="2000m Marche ",IF($D32="BeM",_xlfn.IFERROR(AE32,VLOOKUP($J32,BeM_Courses!$F$3:$I$52,4,TRUE)-1),AE32),"FAUX")</f>
        <v>FAUX</v>
      </c>
      <c r="AE32" s="75" t="str">
        <f>IF($E32="2000m Marche ",IF($D32="BeM",VLOOKUP($J32,BeM_Courses!$F$3:$I$52,4,FALSE),""),"FAUX")</f>
        <v>FAUX</v>
      </c>
    </row>
    <row r="33" spans="1:31" ht="15">
      <c r="A33" s="60"/>
      <c r="B33" s="46"/>
      <c r="C33" s="70"/>
      <c r="D33" s="36" t="s">
        <v>52</v>
      </c>
      <c r="E33" s="37"/>
      <c r="F33" s="171"/>
      <c r="G33" s="167"/>
      <c r="H33" s="176"/>
      <c r="I33" s="176"/>
      <c r="J33" s="167"/>
      <c r="K33" s="82">
        <f t="shared" si="0"/>
        <v>0</v>
      </c>
      <c r="L33" s="25" t="b">
        <f>IF($E33="50m ",IF($D33="BeF",_xlfn.IFERROR(M33,VLOOKUP(ROUNDUP($F33,1),BeF_Courses!$B$3:$I$52,8,TRUE)-1),M33))</f>
        <v>0</v>
      </c>
      <c r="M33" s="32" t="b">
        <f>IF($E33="50m ",IF($D33="BeF",VLOOKUP($F33,BeF_Courses!$B$3:$I$52,8,FALSE),""))</f>
        <v>0</v>
      </c>
      <c r="N33" s="4" t="b">
        <f>IF($E33="1000m ",IF($D33="BeF",_xlfn.IFERROR(O33,VLOOKUP(ROUNDUP($G33,1),BeF_Courses!$C$3:$I$52,7,TRUE)-1),O33))</f>
        <v>0</v>
      </c>
      <c r="O33" s="4" t="b">
        <f>IF($E33="1000m ",IF($D33="BeF",VLOOKUP($G33,BeF_Courses!$C$3:$I$52,7,FALSE),""))</f>
        <v>0</v>
      </c>
      <c r="P33" s="4" t="b">
        <f>IF($E33="50mH ",IF($D33="BeF",_xlfn.IFERROR(Q33,VLOOKUP(ROUNDUP($H33,1),BeF_Courses!$D$3:$I$52,6,TRUE)-1),Q33))</f>
        <v>0</v>
      </c>
      <c r="Q33" s="4" t="b">
        <f>IF($E33="50mH ",IF($D33="BeF",VLOOKUP($H33,BeF_Courses!$D$3:$I$52,6,FALSE),""))</f>
        <v>0</v>
      </c>
      <c r="R33" s="3" t="b">
        <f>IF($E33="200mH ",IF($D33="BeF",_xlfn.IFERROR(S33,VLOOKUP($I33,BeF_Courses!$E$3:$I$52,5,TRUE)-1),S33))</f>
        <v>0</v>
      </c>
      <c r="S33" s="26" t="str">
        <f>IF($E33="200mH ",IF($D33="BeF",VLOOKUP($I33,BeF_Courses!$E$3:$I$52,5,FALSE),""),"FAUX")</f>
        <v>FAUX</v>
      </c>
      <c r="T33" s="4" t="b">
        <f>IF($E33="2000m Marche ",IF($D33="BeF",_xlfn.IFERROR(U33,VLOOKUP($J33,BeF_Courses!$F$3:$I$52,4,TRUE)-1),U33))</f>
        <v>0</v>
      </c>
      <c r="U33" s="4" t="b">
        <f>IF($E33="2000m Marche ",IF($D33="BeF",VLOOKUP($J33,BeF_Courses!$F$3:$I$52,4,FALSE),""),FALSE)</f>
        <v>0</v>
      </c>
      <c r="V33" s="4" t="b">
        <f>IF($E33="50m ",IF($D33="BeM",_xlfn.IFERROR(W33,VLOOKUP($F33,BeM_Courses!$B$3:$I$52,8,TRUE)-1),W33))</f>
        <v>0</v>
      </c>
      <c r="W33" s="4" t="b">
        <f>IF($E33="50m ",IF($D33="BeM",VLOOKUP($F33,BeM_Courses!$B$3:$I$52,8,FALSE),""),FALSE)</f>
        <v>0</v>
      </c>
      <c r="X33" s="4" t="b">
        <f>IF($E33="1000m ",IF($D33="BeM",_xlfn.IFERROR(Y33,VLOOKUP($G33,BeM_Courses!$C$3:$I$52,7,TRUE)-1),Y33))</f>
        <v>0</v>
      </c>
      <c r="Y33" s="75" t="str">
        <f>IF($E33="1000m ",IF($D33="BeM",VLOOKUP($G33,BeM_Courses!$C$3:$I$52,7,FALSE),""),"FAUX")</f>
        <v>FAUX</v>
      </c>
      <c r="Z33" s="4" t="b">
        <f>IF($E33="50mH ",IF($D33="BeM",_xlfn.IFERROR(AA33,VLOOKUP($H33,BeM_Courses!$D$3:$I$52,6,"VRAI")-1),AA33))</f>
        <v>0</v>
      </c>
      <c r="AA33" s="75" t="str">
        <f>IF($E33="50mH ",IF($D33="BeM",VLOOKUP(H33,BeM_Courses!$D$3:$I$52,6,FALSE),""),"FAUX")</f>
        <v>FAUX</v>
      </c>
      <c r="AB33" s="75" t="str">
        <f>IF($E33="200mH ",IF($D33="BeM",_xlfn.IFERROR(AC33,VLOOKUP($I33,BeM_Courses!$E$3:$I$52,5,TRUE)-1),AC33),"FAUX")</f>
        <v>FAUX</v>
      </c>
      <c r="AC33" s="75" t="str">
        <f>IF($E33="200mH ",IF($D33="BeM",VLOOKUP($I33,BeM_Courses!$E$3:$I$52,5,FALSE),""),"FAUX")</f>
        <v>FAUX</v>
      </c>
      <c r="AD33" s="75" t="str">
        <f>IF($E33="2000m Marche ",IF($D33="BeM",_xlfn.IFERROR(AE33,VLOOKUP($J33,BeM_Courses!$F$3:$I$52,4,TRUE)-1),AE33),"FAUX")</f>
        <v>FAUX</v>
      </c>
      <c r="AE33" s="75" t="str">
        <f>IF($E33="2000m Marche ",IF($D33="BeM",VLOOKUP($J33,BeM_Courses!$F$3:$I$52,4,FALSE),""),"FAUX")</f>
        <v>FAUX</v>
      </c>
    </row>
    <row r="34" spans="1:31" ht="15">
      <c r="A34" s="60"/>
      <c r="B34" s="46"/>
      <c r="C34" s="70"/>
      <c r="D34" s="36" t="s">
        <v>52</v>
      </c>
      <c r="E34" s="37"/>
      <c r="F34" s="171"/>
      <c r="G34" s="167"/>
      <c r="H34" s="176"/>
      <c r="I34" s="176"/>
      <c r="J34" s="167"/>
      <c r="K34" s="82">
        <f t="shared" si="0"/>
        <v>0</v>
      </c>
      <c r="L34" s="25" t="b">
        <f>IF($E34="50m ",IF($D34="BeF",_xlfn.IFERROR(M34,VLOOKUP(ROUNDUP($F34,1),BeF_Courses!$B$3:$I$52,8,TRUE)-1),M34))</f>
        <v>0</v>
      </c>
      <c r="M34" s="32" t="b">
        <f>IF($E34="50m ",IF($D34="BeF",VLOOKUP($F34,BeF_Courses!$B$3:$I$52,8,FALSE),""))</f>
        <v>0</v>
      </c>
      <c r="N34" s="4" t="b">
        <f>IF($E34="1000m ",IF($D34="BeF",_xlfn.IFERROR(O34,VLOOKUP(ROUNDUP($G34,1),BeF_Courses!$C$3:$I$52,7,TRUE)-1),O34))</f>
        <v>0</v>
      </c>
      <c r="O34" s="4" t="b">
        <f>IF($E34="1000m ",IF($D34="BeF",VLOOKUP($G34,BeF_Courses!$C$3:$I$52,7,FALSE),""))</f>
        <v>0</v>
      </c>
      <c r="P34" s="4" t="b">
        <f>IF($E34="50mH ",IF($D34="BeF",_xlfn.IFERROR(Q34,VLOOKUP(ROUNDUP($H34,1),BeF_Courses!$D$3:$I$52,6,TRUE)-1),Q34))</f>
        <v>0</v>
      </c>
      <c r="Q34" s="4" t="b">
        <f>IF($E34="50mH ",IF($D34="BeF",VLOOKUP($H34,BeF_Courses!$D$3:$I$52,6,FALSE),""))</f>
        <v>0</v>
      </c>
      <c r="R34" s="3" t="b">
        <f>IF($E34="200mH ",IF($D34="BeF",_xlfn.IFERROR(S34,VLOOKUP($I34,BeF_Courses!$E$3:$I$52,5,TRUE)-1),S34))</f>
        <v>0</v>
      </c>
      <c r="S34" s="26" t="str">
        <f>IF($E34="200mH ",IF($D34="BeF",VLOOKUP($I34,BeF_Courses!$E$3:$I$52,5,FALSE),""),"FAUX")</f>
        <v>FAUX</v>
      </c>
      <c r="T34" s="4" t="b">
        <f>IF($E34="2000m Marche ",IF($D34="BeF",_xlfn.IFERROR(U34,VLOOKUP($J34,BeF_Courses!$F$3:$I$52,4,TRUE)-1),U34))</f>
        <v>0</v>
      </c>
      <c r="U34" s="4" t="b">
        <f>IF($E34="2000m Marche ",IF($D34="BeF",VLOOKUP($J34,BeF_Courses!$F$3:$I$52,4,FALSE),""),FALSE)</f>
        <v>0</v>
      </c>
      <c r="V34" s="4" t="b">
        <f>IF($E34="50m ",IF($D34="BeM",_xlfn.IFERROR(W34,VLOOKUP($F34,BeM_Courses!$B$3:$I$52,8,TRUE)-1),W34))</f>
        <v>0</v>
      </c>
      <c r="W34" s="4" t="b">
        <f>IF($E34="50m ",IF($D34="BeM",VLOOKUP($F34,BeM_Courses!$B$3:$I$52,8,FALSE),""),FALSE)</f>
        <v>0</v>
      </c>
      <c r="X34" s="4" t="b">
        <f>IF($E34="1000m ",IF($D34="BeM",_xlfn.IFERROR(Y34,VLOOKUP($G34,BeM_Courses!$C$3:$I$52,7,TRUE)-1),Y34))</f>
        <v>0</v>
      </c>
      <c r="Y34" s="75" t="str">
        <f>IF($E34="1000m ",IF($D34="BeM",VLOOKUP($G34,BeM_Courses!$C$3:$I$52,7,FALSE),""),"FAUX")</f>
        <v>FAUX</v>
      </c>
      <c r="Z34" s="4" t="b">
        <f>IF($E34="50mH ",IF($D34="BeM",_xlfn.IFERROR(AA34,VLOOKUP($H34,BeM_Courses!$D$3:$I$52,6,"VRAI")-1),AA34))</f>
        <v>0</v>
      </c>
      <c r="AA34" s="75" t="str">
        <f>IF($E34="50mH ",IF($D34="BeM",VLOOKUP(H34,BeM_Courses!$D$3:$I$52,6,FALSE),""),"FAUX")</f>
        <v>FAUX</v>
      </c>
      <c r="AB34" s="75" t="str">
        <f>IF($E34="200mH ",IF($D34="BeM",_xlfn.IFERROR(AC34,VLOOKUP($I34,BeM_Courses!$E$3:$I$52,5,TRUE)-1),AC34),"FAUX")</f>
        <v>FAUX</v>
      </c>
      <c r="AC34" s="75" t="str">
        <f>IF($E34="200mH ",IF($D34="BeM",VLOOKUP($I34,BeM_Courses!$E$3:$I$52,5,FALSE),""),"FAUX")</f>
        <v>FAUX</v>
      </c>
      <c r="AD34" s="75" t="str">
        <f>IF($E34="2000m Marche ",IF($D34="BeM",_xlfn.IFERROR(AE34,VLOOKUP($J34,BeM_Courses!$F$3:$I$52,4,TRUE)-1),AE34),"FAUX")</f>
        <v>FAUX</v>
      </c>
      <c r="AE34" s="75" t="str">
        <f>IF($E34="2000m Marche ",IF($D34="BeM",VLOOKUP($J34,BeM_Courses!$F$3:$I$52,4,FALSE),""),"FAUX")</f>
        <v>FAUX</v>
      </c>
    </row>
    <row r="35" spans="1:31" ht="15">
      <c r="A35" s="60"/>
      <c r="B35" s="46"/>
      <c r="C35" s="70"/>
      <c r="D35" s="36" t="s">
        <v>52</v>
      </c>
      <c r="E35" s="37"/>
      <c r="F35" s="171"/>
      <c r="G35" s="167"/>
      <c r="H35" s="176"/>
      <c r="I35" s="176"/>
      <c r="J35" s="167"/>
      <c r="K35" s="82">
        <f t="shared" si="0"/>
        <v>0</v>
      </c>
      <c r="L35" s="25" t="b">
        <f>IF($E35="50m ",IF($D35="BeF",_xlfn.IFERROR(M35,VLOOKUP(ROUNDUP($F35,1),BeF_Courses!$B$3:$I$52,8,TRUE)-1),M35))</f>
        <v>0</v>
      </c>
      <c r="M35" s="32" t="b">
        <f>IF($E35="50m ",IF($D35="BeF",VLOOKUP($F35,BeF_Courses!$B$3:$I$52,8,FALSE),""))</f>
        <v>0</v>
      </c>
      <c r="N35" s="4" t="b">
        <f>IF($E35="1000m ",IF($D35="BeF",_xlfn.IFERROR(O35,VLOOKUP(ROUNDUP($G35,1),BeF_Courses!$C$3:$I$52,7,TRUE)-1),O35))</f>
        <v>0</v>
      </c>
      <c r="O35" s="4" t="b">
        <f>IF($E35="1000m ",IF($D35="BeF",VLOOKUP($G35,BeF_Courses!$C$3:$I$52,7,FALSE),""))</f>
        <v>0</v>
      </c>
      <c r="P35" s="4" t="b">
        <f>IF($E35="50mH ",IF($D35="BeF",_xlfn.IFERROR(Q35,VLOOKUP(ROUNDUP($H35,1),BeF_Courses!$D$3:$I$52,6,TRUE)-1),Q35))</f>
        <v>0</v>
      </c>
      <c r="Q35" s="4" t="b">
        <f>IF($E35="50mH ",IF($D35="BeF",VLOOKUP($H35,BeF_Courses!$D$3:$I$52,6,FALSE),""))</f>
        <v>0</v>
      </c>
      <c r="R35" s="3" t="b">
        <f>IF($E35="200mH ",IF($D35="BeF",_xlfn.IFERROR(S35,VLOOKUP($I35,BeF_Courses!$E$3:$I$52,5,TRUE)-1),S35))</f>
        <v>0</v>
      </c>
      <c r="S35" s="26" t="str">
        <f>IF($E35="200mH ",IF($D35="BeF",VLOOKUP($I35,BeF_Courses!$E$3:$I$52,5,FALSE),""),"FAUX")</f>
        <v>FAUX</v>
      </c>
      <c r="T35" s="4" t="b">
        <f>IF($E35="2000m Marche ",IF($D35="BeF",_xlfn.IFERROR(U35,VLOOKUP($J35,BeF_Courses!$F$3:$I$52,4,TRUE)-1),U35))</f>
        <v>0</v>
      </c>
      <c r="U35" s="4" t="b">
        <f>IF($E35="2000m Marche ",IF($D35="BeF",VLOOKUP($J35,BeF_Courses!$F$3:$I$52,4,FALSE),""),FALSE)</f>
        <v>0</v>
      </c>
      <c r="V35" s="4" t="b">
        <f>IF($E35="50m ",IF($D35="BeM",_xlfn.IFERROR(W35,VLOOKUP($F35,BeM_Courses!$B$3:$I$52,8,TRUE)-1),W35))</f>
        <v>0</v>
      </c>
      <c r="W35" s="4" t="b">
        <f>IF($E35="50m ",IF($D35="BeM",VLOOKUP($F35,BeM_Courses!$B$3:$I$52,8,FALSE),""),FALSE)</f>
        <v>0</v>
      </c>
      <c r="X35" s="4" t="b">
        <f>IF($E35="1000m ",IF($D35="BeM",_xlfn.IFERROR(Y35,VLOOKUP($G35,BeM_Courses!$C$3:$I$52,7,TRUE)-1),Y35))</f>
        <v>0</v>
      </c>
      <c r="Y35" s="75" t="str">
        <f>IF($E35="1000m ",IF($D35="BeM",VLOOKUP($G35,BeM_Courses!$C$3:$I$52,7,FALSE),""),"FAUX")</f>
        <v>FAUX</v>
      </c>
      <c r="Z35" s="4" t="b">
        <f>IF($E35="50mH ",IF($D35="BeM",_xlfn.IFERROR(AA35,VLOOKUP($H35,BeM_Courses!$D$3:$I$52,6,"VRAI")-1),AA35))</f>
        <v>0</v>
      </c>
      <c r="AA35" s="75" t="str">
        <f>IF($E35="50mH ",IF($D35="BeM",VLOOKUP(H35,BeM_Courses!$D$3:$I$52,6,FALSE),""),"FAUX")</f>
        <v>FAUX</v>
      </c>
      <c r="AB35" s="75" t="str">
        <f>IF($E35="200mH ",IF($D35="BeM",_xlfn.IFERROR(AC35,VLOOKUP($I35,BeM_Courses!$E$3:$I$52,5,TRUE)-1),AC35),"FAUX")</f>
        <v>FAUX</v>
      </c>
      <c r="AC35" s="75" t="str">
        <f>IF($E35="200mH ",IF($D35="BeM",VLOOKUP($I35,BeM_Courses!$E$3:$I$52,5,FALSE),""),"FAUX")</f>
        <v>FAUX</v>
      </c>
      <c r="AD35" s="75" t="str">
        <f>IF($E35="2000m Marche ",IF($D35="BeM",_xlfn.IFERROR(AE35,VLOOKUP($J35,BeM_Courses!$F$3:$I$52,4,TRUE)-1),AE35),"FAUX")</f>
        <v>FAUX</v>
      </c>
      <c r="AE35" s="75" t="str">
        <f>IF($E35="2000m Marche ",IF($D35="BeM",VLOOKUP($J35,BeM_Courses!$F$3:$I$52,4,FALSE),""),"FAUX")</f>
        <v>FAUX</v>
      </c>
    </row>
    <row r="36" spans="1:31" ht="15">
      <c r="A36" s="60"/>
      <c r="B36" s="46"/>
      <c r="C36" s="70"/>
      <c r="D36" s="36" t="s">
        <v>52</v>
      </c>
      <c r="E36" s="37"/>
      <c r="F36" s="171"/>
      <c r="G36" s="167"/>
      <c r="H36" s="176"/>
      <c r="I36" s="176"/>
      <c r="J36" s="167"/>
      <c r="K36" s="82">
        <f t="shared" si="0"/>
        <v>0</v>
      </c>
      <c r="L36" s="25" t="b">
        <f>IF($E36="50m ",IF($D36="BeF",_xlfn.IFERROR(M36,VLOOKUP(ROUNDUP($F36,1),BeF_Courses!$B$3:$I$52,8,TRUE)-1),M36))</f>
        <v>0</v>
      </c>
      <c r="M36" s="32" t="b">
        <f>IF($E36="50m ",IF($D36="BeF",VLOOKUP($F36,BeF_Courses!$B$3:$I$52,8,FALSE),""))</f>
        <v>0</v>
      </c>
      <c r="N36" s="4" t="b">
        <f>IF($E36="1000m ",IF($D36="BeF",_xlfn.IFERROR(O36,VLOOKUP(ROUNDUP($G36,1),BeF_Courses!$C$3:$I$52,7,TRUE)-1),O36))</f>
        <v>0</v>
      </c>
      <c r="O36" s="4" t="b">
        <f>IF($E36="1000m ",IF($D36="BeF",VLOOKUP($G36,BeF_Courses!$C$3:$I$52,7,FALSE),""))</f>
        <v>0</v>
      </c>
      <c r="P36" s="4" t="b">
        <f>IF($E36="50mH ",IF($D36="BeF",_xlfn.IFERROR(Q36,VLOOKUP(ROUNDUP($H36,1),BeF_Courses!$D$3:$I$52,6,TRUE)-1),Q36))</f>
        <v>0</v>
      </c>
      <c r="Q36" s="4" t="b">
        <f>IF($E36="50mH ",IF($D36="BeF",VLOOKUP($H36,BeF_Courses!$D$3:$I$52,6,FALSE),""))</f>
        <v>0</v>
      </c>
      <c r="R36" s="3" t="b">
        <f>IF($E36="200mH ",IF($D36="BeF",_xlfn.IFERROR(S36,VLOOKUP($I36,BeF_Courses!$E$3:$I$52,5,TRUE)-1),S36))</f>
        <v>0</v>
      </c>
      <c r="S36" s="26" t="str">
        <f>IF($E36="200mH ",IF($D36="BeF",VLOOKUP($I36,BeF_Courses!$E$3:$I$52,5,FALSE),""),"FAUX")</f>
        <v>FAUX</v>
      </c>
      <c r="T36" s="4" t="b">
        <f>IF($E36="2000m Marche ",IF($D36="BeF",_xlfn.IFERROR(U36,VLOOKUP($J36,BeF_Courses!$F$3:$I$52,4,TRUE)-1),U36))</f>
        <v>0</v>
      </c>
      <c r="U36" s="4" t="b">
        <f>IF($E36="2000m Marche ",IF($D36="BeF",VLOOKUP($J36,BeF_Courses!$F$3:$I$52,4,FALSE),""),FALSE)</f>
        <v>0</v>
      </c>
      <c r="V36" s="4" t="b">
        <f>IF($E36="50m ",IF($D36="BeM",_xlfn.IFERROR(W36,VLOOKUP($F36,BeM_Courses!$B$3:$I$52,8,TRUE)-1),W36))</f>
        <v>0</v>
      </c>
      <c r="W36" s="4" t="b">
        <f>IF($E36="50m ",IF($D36="BeM",VLOOKUP($F36,BeM_Courses!$B$3:$I$52,8,FALSE),""),FALSE)</f>
        <v>0</v>
      </c>
      <c r="X36" s="4" t="b">
        <f>IF($E36="1000m ",IF($D36="BeM",_xlfn.IFERROR(Y36,VLOOKUP($G36,BeM_Courses!$C$3:$I$52,7,TRUE)-1),Y36))</f>
        <v>0</v>
      </c>
      <c r="Y36" s="75" t="str">
        <f>IF($E36="1000m ",IF($D36="BeM",VLOOKUP($G36,BeM_Courses!$C$3:$I$52,7,FALSE),""),"FAUX")</f>
        <v>FAUX</v>
      </c>
      <c r="Z36" s="4" t="b">
        <f>IF($E36="50mH ",IF($D36="BeM",_xlfn.IFERROR(AA36,VLOOKUP($H36,BeM_Courses!$D$3:$I$52,6,"VRAI")-1),AA36))</f>
        <v>0</v>
      </c>
      <c r="AA36" s="75" t="str">
        <f>IF($E36="50mH ",IF($D36="BeM",VLOOKUP(H36,BeM_Courses!$D$3:$I$52,6,FALSE),""),"FAUX")</f>
        <v>FAUX</v>
      </c>
      <c r="AB36" s="75" t="str">
        <f>IF($E36="200mH ",IF($D36="BeM",_xlfn.IFERROR(AC36,VLOOKUP($I36,BeM_Courses!$E$3:$I$52,5,TRUE)-1),AC36),"FAUX")</f>
        <v>FAUX</v>
      </c>
      <c r="AC36" s="75" t="str">
        <f>IF($E36="200mH ",IF($D36="BeM",VLOOKUP($I36,BeM_Courses!$E$3:$I$52,5,FALSE),""),"FAUX")</f>
        <v>FAUX</v>
      </c>
      <c r="AD36" s="75" t="str">
        <f>IF($E36="2000m Marche ",IF($D36="BeM",_xlfn.IFERROR(AE36,VLOOKUP($J36,BeM_Courses!$F$3:$I$52,4,TRUE)-1),AE36),"FAUX")</f>
        <v>FAUX</v>
      </c>
      <c r="AE36" s="75" t="str">
        <f>IF($E36="2000m Marche ",IF($D36="BeM",VLOOKUP($J36,BeM_Courses!$F$3:$I$52,4,FALSE),""),"FAUX")</f>
        <v>FAUX</v>
      </c>
    </row>
    <row r="37" spans="1:31" ht="15">
      <c r="A37" s="60"/>
      <c r="B37" s="46"/>
      <c r="C37" s="70"/>
      <c r="D37" s="36" t="s">
        <v>52</v>
      </c>
      <c r="E37" s="37"/>
      <c r="F37" s="171"/>
      <c r="G37" s="167"/>
      <c r="H37" s="176"/>
      <c r="I37" s="176"/>
      <c r="J37" s="167"/>
      <c r="K37" s="82">
        <f t="shared" si="0"/>
        <v>0</v>
      </c>
      <c r="L37" s="25" t="b">
        <f>IF($E37="50m ",IF($D37="BeF",_xlfn.IFERROR(M37,VLOOKUP(ROUNDUP($F37,1),BeF_Courses!$B$3:$I$52,8,TRUE)-1),M37))</f>
        <v>0</v>
      </c>
      <c r="M37" s="32" t="b">
        <f>IF($E37="50m ",IF($D37="BeF",VLOOKUP($F37,BeF_Courses!$B$3:$I$52,8,FALSE),""))</f>
        <v>0</v>
      </c>
      <c r="N37" s="4" t="b">
        <f>IF($E37="1000m ",IF($D37="BeF",_xlfn.IFERROR(O37,VLOOKUP(ROUNDUP($G37,1),BeF_Courses!$C$3:$I$52,7,TRUE)-1),O37))</f>
        <v>0</v>
      </c>
      <c r="O37" s="4" t="b">
        <f>IF($E37="1000m ",IF($D37="BeF",VLOOKUP($G37,BeF_Courses!$C$3:$I$52,7,FALSE),""))</f>
        <v>0</v>
      </c>
      <c r="P37" s="4" t="b">
        <f>IF($E37="50mH ",IF($D37="BeF",_xlfn.IFERROR(Q37,VLOOKUP(ROUNDUP($H37,1),BeF_Courses!$D$3:$I$52,6,TRUE)-1),Q37))</f>
        <v>0</v>
      </c>
      <c r="Q37" s="4" t="b">
        <f>IF($E37="50mH ",IF($D37="BeF",VLOOKUP($H37,BeF_Courses!$D$3:$I$52,6,FALSE),""))</f>
        <v>0</v>
      </c>
      <c r="R37" s="3" t="b">
        <f>IF($E37="200mH ",IF($D37="BeF",_xlfn.IFERROR(S37,VLOOKUP($I37,BeF_Courses!$E$3:$I$52,5,TRUE)-1),S37))</f>
        <v>0</v>
      </c>
      <c r="S37" s="26" t="str">
        <f>IF($E37="200mH ",IF($D37="BeF",VLOOKUP($I37,BeF_Courses!$E$3:$I$52,5,FALSE),""),"FAUX")</f>
        <v>FAUX</v>
      </c>
      <c r="T37" s="4" t="b">
        <f>IF($E37="2000m Marche ",IF($D37="BeF",_xlfn.IFERROR(U37,VLOOKUP($J37,BeF_Courses!$F$3:$I$52,4,TRUE)-1),U37))</f>
        <v>0</v>
      </c>
      <c r="U37" s="4" t="b">
        <f>IF($E37="2000m Marche ",IF($D37="BeF",VLOOKUP($J37,BeF_Courses!$F$3:$I$52,4,FALSE),""),FALSE)</f>
        <v>0</v>
      </c>
      <c r="V37" s="4" t="b">
        <f>IF($E37="50m ",IF($D37="BeM",_xlfn.IFERROR(W37,VLOOKUP($F37,BeM_Courses!$B$3:$I$52,8,TRUE)-1),W37))</f>
        <v>0</v>
      </c>
      <c r="W37" s="4" t="b">
        <f>IF($E37="50m ",IF($D37="BeM",VLOOKUP($F37,BeM_Courses!$B$3:$I$52,8,FALSE),""),FALSE)</f>
        <v>0</v>
      </c>
      <c r="X37" s="4" t="b">
        <f>IF($E37="1000m ",IF($D37="BeM",_xlfn.IFERROR(Y37,VLOOKUP($G37,BeM_Courses!$C$3:$I$52,7,TRUE)-1),Y37))</f>
        <v>0</v>
      </c>
      <c r="Y37" s="75" t="str">
        <f>IF($E37="1000m ",IF($D37="BeM",VLOOKUP($G37,BeM_Courses!$C$3:$I$52,7,FALSE),""),"FAUX")</f>
        <v>FAUX</v>
      </c>
      <c r="Z37" s="4" t="b">
        <f>IF($E37="50mH ",IF($D37="BeM",_xlfn.IFERROR(AA37,VLOOKUP($H37,BeM_Courses!$D$3:$I$52,6,"VRAI")-1),AA37))</f>
        <v>0</v>
      </c>
      <c r="AA37" s="75" t="str">
        <f>IF($E37="50mH ",IF($D37="BeM",VLOOKUP(H37,BeM_Courses!$D$3:$I$52,6,FALSE),""),"FAUX")</f>
        <v>FAUX</v>
      </c>
      <c r="AB37" s="75" t="str">
        <f>IF($E37="200mH ",IF($D37="BeM",_xlfn.IFERROR(AC37,VLOOKUP($I37,BeM_Courses!$E$3:$I$52,5,TRUE)-1),AC37),"FAUX")</f>
        <v>FAUX</v>
      </c>
      <c r="AC37" s="75" t="str">
        <f>IF($E37="200mH ",IF($D37="BeM",VLOOKUP($I37,BeM_Courses!$E$3:$I$52,5,FALSE),""),"FAUX")</f>
        <v>FAUX</v>
      </c>
      <c r="AD37" s="75" t="str">
        <f>IF($E37="2000m Marche ",IF($D37="BeM",_xlfn.IFERROR(AE37,VLOOKUP($J37,BeM_Courses!$F$3:$I$52,4,TRUE)-1),AE37),"FAUX")</f>
        <v>FAUX</v>
      </c>
      <c r="AE37" s="75" t="str">
        <f>IF($E37="2000m Marche ",IF($D37="BeM",VLOOKUP($J37,BeM_Courses!$F$3:$I$52,4,FALSE),""),"FAUX")</f>
        <v>FAUX</v>
      </c>
    </row>
    <row r="38" spans="1:31" ht="15.75" thickBot="1">
      <c r="A38" s="62"/>
      <c r="B38" s="63"/>
      <c r="C38" s="71"/>
      <c r="D38" s="38" t="s">
        <v>52</v>
      </c>
      <c r="E38" s="39"/>
      <c r="F38" s="173"/>
      <c r="G38" s="168"/>
      <c r="H38" s="177"/>
      <c r="I38" s="177"/>
      <c r="J38" s="168"/>
      <c r="K38" s="91">
        <f t="shared" si="0"/>
        <v>0</v>
      </c>
      <c r="L38" s="25" t="b">
        <f>IF($E38="50m ",IF($D38="BeF",_xlfn.IFERROR(M38,VLOOKUP(ROUNDUP($F38,1),BeF_Courses!$B$3:$I$52,8,TRUE)-1),M38))</f>
        <v>0</v>
      </c>
      <c r="M38" s="32" t="b">
        <f>IF($E38="50m ",IF($D38="BeF",VLOOKUP($F38,BeF_Courses!$B$3:$I$52,8,FALSE),""))</f>
        <v>0</v>
      </c>
      <c r="N38" s="4" t="b">
        <f>IF($E38="1000m ",IF($D38="BeF",_xlfn.IFERROR(O38,VLOOKUP(ROUNDUP($G38,1),BeF_Courses!$C$3:$I$52,7,TRUE)-1),O38))</f>
        <v>0</v>
      </c>
      <c r="O38" s="4" t="b">
        <f>IF($E38="1000m ",IF($D38="BeF",VLOOKUP($G38,BeF_Courses!$C$3:$I$52,7,FALSE),""))</f>
        <v>0</v>
      </c>
      <c r="P38" s="4" t="b">
        <f>IF($E38="50mH ",IF($D38="BeF",_xlfn.IFERROR(Q38,VLOOKUP(ROUNDUP($H38,1),BeF_Courses!$D$3:$I$52,6,TRUE)-1),Q38))</f>
        <v>0</v>
      </c>
      <c r="Q38" s="4" t="b">
        <f>IF($E38="50mH ",IF($D38="BeF",VLOOKUP($H38,BeF_Courses!$D$3:$I$52,6,FALSE),""))</f>
        <v>0</v>
      </c>
      <c r="R38" s="3" t="b">
        <f>IF($E38="200mH ",IF($D38="BeF",_xlfn.IFERROR(S38,VLOOKUP($I38,BeF_Courses!$E$3:$I$52,5,TRUE)-1),S38))</f>
        <v>0</v>
      </c>
      <c r="S38" s="26" t="str">
        <f>IF($E38="200mH ",IF($D38="BeF",VLOOKUP($I38,BeF_Courses!$E$3:$I$52,5,FALSE),""),"FAUX")</f>
        <v>FAUX</v>
      </c>
      <c r="T38" s="4" t="b">
        <f>IF($E38="2000m Marche ",IF($D38="BeF",_xlfn.IFERROR(U38,VLOOKUP($J38,BeF_Courses!$F$3:$I$52,4,TRUE)-1),U38))</f>
        <v>0</v>
      </c>
      <c r="U38" s="4" t="b">
        <f>IF($E38="2000m Marche ",IF($D38="BeF",VLOOKUP($J38,BeF_Courses!$F$3:$I$52,4,FALSE),""),FALSE)</f>
        <v>0</v>
      </c>
      <c r="V38" s="4" t="b">
        <f>IF($E38="50m ",IF($D38="BeM",_xlfn.IFERROR(W38,VLOOKUP($F38,BeM_Courses!$B$3:$I$52,8,TRUE)-1),W38))</f>
        <v>0</v>
      </c>
      <c r="W38" s="4" t="b">
        <f>IF($E38="50m ",IF($D38="BeM",VLOOKUP($F38,BeM_Courses!$B$3:$I$52,8,FALSE),""),FALSE)</f>
        <v>0</v>
      </c>
      <c r="X38" s="4" t="b">
        <f>IF($E38="1000m ",IF($D38="BeM",_xlfn.IFERROR(Y38,VLOOKUP($G38,BeM_Courses!$C$3:$I$52,7,TRUE)-1),Y38))</f>
        <v>0</v>
      </c>
      <c r="Y38" s="75" t="str">
        <f>IF($E38="1000m ",IF($D38="BeM",VLOOKUP($G38,BeM_Courses!$C$3:$I$52,7,FALSE),""),"FAUX")</f>
        <v>FAUX</v>
      </c>
      <c r="Z38" s="4" t="b">
        <f>IF($E38="50mH ",IF($D38="BeM",_xlfn.IFERROR(AA38,VLOOKUP($H38,BeM_Courses!$D$3:$I$52,6,"VRAI")-1),AA38))</f>
        <v>0</v>
      </c>
      <c r="AA38" s="75" t="str">
        <f>IF($E38="50mH ",IF($D38="BeM",VLOOKUP(H38,BeM_Courses!$D$3:$I$52,6,FALSE),""),"FAUX")</f>
        <v>FAUX</v>
      </c>
      <c r="AB38" s="75" t="str">
        <f>IF($E38="200mH ",IF($D38="BeM",_xlfn.IFERROR(AC38,VLOOKUP($I38,BeM_Courses!$E$3:$I$52,5,TRUE)-1),AC38),"FAUX")</f>
        <v>FAUX</v>
      </c>
      <c r="AC38" s="75" t="str">
        <f>IF($E38="200mH ",IF($D38="BeM",VLOOKUP($I38,BeM_Courses!$E$3:$I$52,5,FALSE),""),"FAUX")</f>
        <v>FAUX</v>
      </c>
      <c r="AD38" s="75" t="str">
        <f>IF($E38="2000m Marche ",IF($D38="BeM",_xlfn.IFERROR(AE38,VLOOKUP($J38,BeM_Courses!$F$3:$I$52,4,TRUE)-1),AE38),"FAUX")</f>
        <v>FAUX</v>
      </c>
      <c r="AE38" s="75" t="str">
        <f>IF($E38="2000m Marche ",IF($D38="BeM",VLOOKUP($J38,BeM_Courses!$F$3:$I$52,4,FALSE),""),"FAUX")</f>
        <v>FAUX</v>
      </c>
    </row>
  </sheetData>
  <sheetProtection password="D2F3" sheet="1" objects="1" scenarios="1" selectLockedCells="1"/>
  <mergeCells count="9">
    <mergeCell ref="A2:K3"/>
    <mergeCell ref="C4:F4"/>
    <mergeCell ref="H4:K4"/>
    <mergeCell ref="B5:B6"/>
    <mergeCell ref="C5:F6"/>
    <mergeCell ref="G5:H5"/>
    <mergeCell ref="I5:J5"/>
    <mergeCell ref="G6:H6"/>
    <mergeCell ref="I6:J6"/>
  </mergeCells>
  <dataValidations count="2">
    <dataValidation type="list" allowBlank="1" showInputMessage="1" showErrorMessage="1" sqref="D8:D38">
      <formula1>$X$3:$X$4</formula1>
    </dataValidation>
    <dataValidation type="list" allowBlank="1" showInputMessage="1" showErrorMessage="1" sqref="B4 E8:E38">
      <formula1>$N$1:$N$6</formula1>
    </dataValidation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landscape" paperSize="256" scale="74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T38"/>
  <sheetViews>
    <sheetView workbookViewId="0" topLeftCell="A4">
      <selection activeCell="G16" sqref="G16"/>
    </sheetView>
  </sheetViews>
  <sheetFormatPr defaultColWidth="11.421875" defaultRowHeight="15"/>
  <cols>
    <col min="1" max="3" width="18.28125" style="0" customWidth="1"/>
    <col min="4" max="5" width="18.00390625" style="2" customWidth="1"/>
    <col min="6" max="13" width="12.57421875" style="2" customWidth="1"/>
    <col min="14" max="14" width="13.7109375" style="2" customWidth="1"/>
    <col min="15" max="17" width="11.421875" style="2" hidden="1" customWidth="1"/>
    <col min="18" max="25" width="11.421875" style="0" hidden="1" customWidth="1"/>
    <col min="26" max="26" width="11.421875" style="2" hidden="1" customWidth="1"/>
    <col min="27" max="33" width="11.421875" style="0" hidden="1" customWidth="1"/>
    <col min="34" max="36" width="11.421875" style="74" hidden="1" customWidth="1"/>
    <col min="37" max="37" width="11.421875" style="0" hidden="1" customWidth="1"/>
    <col min="38" max="42" width="11.421875" style="74" hidden="1" customWidth="1"/>
    <col min="43" max="46" width="11.421875" style="0" hidden="1" customWidth="1"/>
  </cols>
  <sheetData>
    <row r="1" spans="1:18" ht="171" customHeight="1" thickBot="1">
      <c r="A1" s="5"/>
      <c r="B1" s="6"/>
      <c r="C1" s="6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  <c r="O1" s="92"/>
      <c r="P1" s="10"/>
      <c r="Q1" s="10"/>
      <c r="R1" s="30"/>
    </row>
    <row r="2" spans="1:18" ht="12" customHeight="1">
      <c r="A2" s="197" t="s">
        <v>322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9"/>
      <c r="O2" s="92"/>
      <c r="P2" s="10"/>
      <c r="Q2" s="10"/>
      <c r="R2" s="31"/>
    </row>
    <row r="3" spans="1:33" ht="14.25" customHeight="1" thickBot="1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2"/>
      <c r="O3" s="93"/>
      <c r="P3" s="10"/>
      <c r="Q3" s="10"/>
      <c r="R3" s="31"/>
      <c r="AG3" s="97" t="s">
        <v>189</v>
      </c>
    </row>
    <row r="4" spans="1:33" ht="15.75" thickBot="1">
      <c r="A4" s="21" t="s">
        <v>65</v>
      </c>
      <c r="B4" s="22"/>
      <c r="C4" s="277" t="str">
        <f>IF(B4="80mH ",AT12,IF(B4="100mH ",AT13,IF(B4="200mH ",AT14," ")))</f>
        <v/>
      </c>
      <c r="D4" s="278"/>
      <c r="E4" s="278"/>
      <c r="F4" s="278"/>
      <c r="G4" s="279"/>
      <c r="H4" s="79" t="s">
        <v>62</v>
      </c>
      <c r="I4" s="273"/>
      <c r="J4" s="236"/>
      <c r="K4" s="236"/>
      <c r="L4" s="236"/>
      <c r="M4" s="236"/>
      <c r="N4" s="274"/>
      <c r="O4" s="94"/>
      <c r="P4" s="10"/>
      <c r="Q4" s="10"/>
      <c r="R4" s="30"/>
      <c r="AG4" s="98" t="s">
        <v>190</v>
      </c>
    </row>
    <row r="5" spans="1:33" ht="15">
      <c r="A5" s="119" t="s">
        <v>0</v>
      </c>
      <c r="B5" s="195" t="s">
        <v>61</v>
      </c>
      <c r="C5" s="187"/>
      <c r="D5" s="188"/>
      <c r="E5" s="188"/>
      <c r="F5" s="188"/>
      <c r="G5" s="230"/>
      <c r="H5" s="230"/>
      <c r="I5" s="275"/>
      <c r="J5" s="216" t="s">
        <v>1</v>
      </c>
      <c r="K5" s="267"/>
      <c r="L5" s="217" t="s">
        <v>2</v>
      </c>
      <c r="M5" s="218"/>
      <c r="N5" s="94" t="s">
        <v>63</v>
      </c>
      <c r="O5" s="94"/>
      <c r="P5" s="10"/>
      <c r="Q5" s="10"/>
      <c r="R5" s="30"/>
      <c r="AG5" t="s">
        <v>10</v>
      </c>
    </row>
    <row r="6" spans="1:33" ht="15.75" thickBot="1">
      <c r="A6" s="24"/>
      <c r="B6" s="210"/>
      <c r="C6" s="212"/>
      <c r="D6" s="213"/>
      <c r="E6" s="213"/>
      <c r="F6" s="213"/>
      <c r="G6" s="231"/>
      <c r="H6" s="231"/>
      <c r="I6" s="276"/>
      <c r="J6" s="220"/>
      <c r="K6" s="272"/>
      <c r="L6" s="221"/>
      <c r="M6" s="222"/>
      <c r="N6" s="94" t="s">
        <v>64</v>
      </c>
      <c r="O6" s="94"/>
      <c r="P6" s="10"/>
      <c r="Q6" s="10"/>
      <c r="R6" s="30"/>
      <c r="AG6" t="s">
        <v>10</v>
      </c>
    </row>
    <row r="7" spans="1:42" ht="30" customHeight="1" thickBot="1">
      <c r="A7" s="126" t="s">
        <v>3</v>
      </c>
      <c r="B7" s="20" t="s">
        <v>4</v>
      </c>
      <c r="C7" s="20" t="s">
        <v>5</v>
      </c>
      <c r="D7" s="20" t="s">
        <v>328</v>
      </c>
      <c r="E7" s="20" t="s">
        <v>151</v>
      </c>
      <c r="F7" s="20" t="s">
        <v>34</v>
      </c>
      <c r="G7" s="20" t="s">
        <v>35</v>
      </c>
      <c r="H7" s="20" t="s">
        <v>24</v>
      </c>
      <c r="I7" s="20" t="s">
        <v>36</v>
      </c>
      <c r="J7" s="20" t="s">
        <v>160</v>
      </c>
      <c r="K7" s="20" t="s">
        <v>161</v>
      </c>
      <c r="L7" s="20" t="s">
        <v>66</v>
      </c>
      <c r="M7" s="20" t="s">
        <v>42</v>
      </c>
      <c r="N7" s="120" t="s">
        <v>6</v>
      </c>
      <c r="O7" s="78" t="s">
        <v>163</v>
      </c>
      <c r="P7" s="20" t="s">
        <v>164</v>
      </c>
      <c r="Q7" s="20" t="s">
        <v>165</v>
      </c>
      <c r="R7" s="20" t="s">
        <v>166</v>
      </c>
      <c r="S7" s="53" t="s">
        <v>162</v>
      </c>
      <c r="T7" s="53" t="s">
        <v>167</v>
      </c>
      <c r="U7" s="53" t="s">
        <v>168</v>
      </c>
      <c r="V7" s="53" t="s">
        <v>169</v>
      </c>
      <c r="W7" s="53" t="s">
        <v>170</v>
      </c>
      <c r="X7" s="53" t="s">
        <v>171</v>
      </c>
      <c r="Y7" s="53" t="s">
        <v>172</v>
      </c>
      <c r="Z7" s="53" t="s">
        <v>173</v>
      </c>
      <c r="AA7" s="53" t="s">
        <v>174</v>
      </c>
      <c r="AB7" s="53" t="s">
        <v>175</v>
      </c>
      <c r="AC7" s="53" t="s">
        <v>176</v>
      </c>
      <c r="AD7" s="53" t="s">
        <v>177</v>
      </c>
      <c r="AE7" s="53" t="s">
        <v>178</v>
      </c>
      <c r="AF7" s="53" t="s">
        <v>179</v>
      </c>
      <c r="AG7" s="53" t="s">
        <v>180</v>
      </c>
      <c r="AH7" s="53" t="s">
        <v>181</v>
      </c>
      <c r="AI7" s="53" t="s">
        <v>182</v>
      </c>
      <c r="AJ7" s="53" t="s">
        <v>183</v>
      </c>
      <c r="AK7" s="77" t="s">
        <v>191</v>
      </c>
      <c r="AL7" s="77" t="s">
        <v>192</v>
      </c>
      <c r="AM7" s="53" t="s">
        <v>184</v>
      </c>
      <c r="AN7" s="53" t="s">
        <v>185</v>
      </c>
      <c r="AO7" s="53" t="s">
        <v>186</v>
      </c>
      <c r="AP7" s="53" t="s">
        <v>187</v>
      </c>
    </row>
    <row r="8" spans="1:44" ht="15">
      <c r="A8" s="56"/>
      <c r="B8" s="57"/>
      <c r="C8" s="69"/>
      <c r="D8" s="66" t="s">
        <v>189</v>
      </c>
      <c r="E8" s="35"/>
      <c r="F8" s="169"/>
      <c r="G8" s="170"/>
      <c r="H8" s="166"/>
      <c r="I8" s="166"/>
      <c r="J8" s="175"/>
      <c r="K8" s="175"/>
      <c r="L8" s="175"/>
      <c r="M8" s="166">
        <v>19.235</v>
      </c>
      <c r="N8" s="59">
        <f>MAX(O8,Q8,S8,U8,W8,Y8,AA8,AC8,AE8,AG8,AI8,AK8,AM8,AO8)</f>
        <v>0</v>
      </c>
      <c r="O8" s="95" t="str">
        <f>IF($D8="MiF ",IF($E8="80m ",_xlfn.IFERROR(P8,VLOOKUP(F8,MiF_Courses!$C$3:$M$52,11,TRUE)-1),P8))</f>
        <v/>
      </c>
      <c r="P8" s="12" t="str">
        <f>IF($D8="MiF ",IF($E8="80m ",VLOOKUP($F8,MiF_Courses!$C$3:$M$52,11,FALSE),""),"FAUX")</f>
        <v/>
      </c>
      <c r="Q8" s="95" t="str">
        <f>IF($D8="MiF ",IF($E8="120m ",_xlfn.IFERROR(R8,VLOOKUP($G8,MiF_Courses!D$3:M$52,10,TRUE)-1),""),R8)</f>
        <v/>
      </c>
      <c r="R8" s="32" t="str">
        <f>IF($D8="MiF ",IF($E8="120m ",VLOOKUP($G8,MiF_Courses!$D$3:$M$52,10,FALSE),""),"FAUX")</f>
        <v/>
      </c>
      <c r="S8" s="4" t="b">
        <f>IF($E8="1000m ",IF($D8="MiF ",_xlfn.IFERROR(T8,VLOOKUP(ROUNDUP($H8,1),MiF_Courses!E$3:M$52,9,TRUE)-1),T8))</f>
        <v>0</v>
      </c>
      <c r="T8" s="4" t="b">
        <f>IF($E8="1000m ",IF($D8="MiF ",VLOOKUP($H8,MiF_Courses!E$3:M$52,9,FALSE),""))</f>
        <v>0</v>
      </c>
      <c r="U8" s="95" t="str">
        <f>IF($D8="MiF ",IF($E8="2000m ",_xlfn.IFERROR(V8,VLOOKUP($I8,MiF_Courses!F$3:M$52,8,TRUE)-1),""),V8)</f>
        <v/>
      </c>
      <c r="V8" s="32" t="str">
        <f>IF($D8="MiF ",IF($E8="2000m ",VLOOKUP($I8,MiF_Courses!F$3:M$52,8,FALSE),""),"FAUX")</f>
        <v/>
      </c>
      <c r="W8" s="4" t="b">
        <f>IF($E8="80mH ",IF($D8="MiF ",_xlfn.IFERROR(X8,VLOOKUP(ROUNDUP($J8,1),MiF_Courses!H$3:M$52,6,TRUE)-1),X8))</f>
        <v>0</v>
      </c>
      <c r="X8" s="4" t="b">
        <f>IF($E8="80mH ",IF($D8="MiF ",VLOOKUP($J8,MiF_Courses!H$3:M$52,6,FALSE),""))</f>
        <v>0</v>
      </c>
      <c r="Y8" s="3" t="b">
        <f>IF($E8="200mH ",IF($D8="MiF ",_xlfn.IFERROR(Z8,VLOOKUP($L8,MiF_Courses!I$3:M$52,5,TRUE)-1),Z8))</f>
        <v>0</v>
      </c>
      <c r="Z8" s="26" t="str">
        <f>IF($E8="200mH ",IF($D8="MiF ",VLOOKUP($L8,MiF_Courses!I$3:M$52,5,FALSE),""),"FAUX")</f>
        <v>FAUX</v>
      </c>
      <c r="AA8" s="4" t="b">
        <f>IF($E8="3000m Marche ",IF($D8="MiF ",_xlfn.IFERROR(AB8,VLOOKUP($M8,MiF_Courses!J$3:M$52,4,TRUE)-1),AB8))</f>
        <v>0</v>
      </c>
      <c r="AB8" s="4" t="b">
        <f>IF($E8="3000m Marche ",IF($D8="MiF ",VLOOKUP($M8,MiF_Courses!J$3:M$52,4,FALSE),""),FALSE)</f>
        <v>0</v>
      </c>
      <c r="AC8" s="4" t="b">
        <f>IF($E8="80m ",IF($D8="MiM ",_xlfn.IFERROR(AD8,VLOOKUP($F8,MiM_Courses!C$3:M$52,11,TRUE)-1),AD8))</f>
        <v>0</v>
      </c>
      <c r="AD8" s="4" t="b">
        <f>IF($E8="80m ",IF($D8="MiM ",VLOOKUP($F8,MiM_Courses!C$3:M$52,11,FALSE),""),FALSE)</f>
        <v>0</v>
      </c>
      <c r="AE8" s="4" t="b">
        <f>IF($E8="120m ",IF($D8="MiM ",_xlfn.IFERROR(AF8,VLOOKUP($G8,MiM_Courses!D$3:M$52,10,TRUE)-1),AF8))</f>
        <v>0</v>
      </c>
      <c r="AF8" s="4" t="b">
        <f>IF($E8="120m ",IF($D8="MiM ",VLOOKUP($G8,MiM_Courses!D$3:M$52,10,FALSE),""),FALSE)</f>
        <v>0</v>
      </c>
      <c r="AG8" s="4" t="b">
        <f>IF($E8="1000m ",IF($D8="MiM ",_xlfn.IFERROR(AH8,VLOOKUP($H8,MiM_Courses!E$3:M$52,9,TRUE)-1),AH8))</f>
        <v>0</v>
      </c>
      <c r="AH8" s="75" t="str">
        <f>IF($E8="1000m ",IF($D8="MiM ",VLOOKUP($H8,MiM_Courses!E$3:M$52,9,FALSE),""),"FAUX")</f>
        <v>FAUX</v>
      </c>
      <c r="AI8" s="4" t="b">
        <f>IF($E8="2000m ",IF($D8="MiM ",_xlfn.IFERROR(AJ8,VLOOKUP($I8,MiM_Courses!F$3:M$52,8,TRUE)-1),AJ8))</f>
        <v>0</v>
      </c>
      <c r="AJ8" s="75" t="str">
        <f>IF($E8="2000m ",IF($D8="MiM ",VLOOKUP($I8,MiM_Courses!F$3:M$52,8,FALSE),""),"FAUX")</f>
        <v>FAUX</v>
      </c>
      <c r="AK8" s="4" t="b">
        <f>IF($E8="100mH ",IF($D8="MiM ",_xlfn.IFERROR(AL8,VLOOKUP($K8,MiM_Courses!H$3:M$52,6,"VRAI")-1),AL8))</f>
        <v>0</v>
      </c>
      <c r="AL8" s="75" t="str">
        <f>IF($E8="100mH ",IF($D8="MiM ",VLOOKUP(K8,MiM_Courses!H$3:M$51,6,FALSE),""),"FAUX")</f>
        <v>FAUX</v>
      </c>
      <c r="AM8" s="75" t="str">
        <f>IF($E8="200mH ",IF($D8="MiM ",_xlfn.IFERROR(AN8,VLOOKUP($L8,MiM_Courses!I$3:M$52,5,TRUE)-1),AN8),"FAUX")</f>
        <v>FAUX</v>
      </c>
      <c r="AN8" s="75" t="str">
        <f>IF($E8="200mH ",IF($D8="MiM ",VLOOKUP($L8,MiM_Courses!I$3:M$52,5,FALSE),""),"FAUX")</f>
        <v>FAUX</v>
      </c>
      <c r="AO8" s="75" t="str">
        <f>IF($E8="3000m Marche ",IF($D8="MiM ",_xlfn.IFERROR(AP8,VLOOKUP($M8,MiM_Courses!J$3:M$52,4,TRUE)-1),AP8),"FAUX")</f>
        <v>FAUX</v>
      </c>
      <c r="AP8" s="75" t="str">
        <f>IF($E8="3000m Marche ",IF($D8="MiM ",VLOOKUP($M8,MiM_Courses!J$3:M$52,4,FALSE),""),"FAUX")</f>
        <v>FAUX</v>
      </c>
      <c r="AR8" t="s">
        <v>153</v>
      </c>
    </row>
    <row r="9" spans="1:44" ht="15">
      <c r="A9" s="60"/>
      <c r="B9" s="46"/>
      <c r="C9" s="70"/>
      <c r="D9" s="67" t="s">
        <v>190</v>
      </c>
      <c r="E9" s="37"/>
      <c r="F9" s="171"/>
      <c r="G9" s="172"/>
      <c r="H9" s="167"/>
      <c r="I9" s="167"/>
      <c r="J9" s="176"/>
      <c r="K9" s="176"/>
      <c r="L9" s="176"/>
      <c r="M9" s="167"/>
      <c r="N9" s="61">
        <f>MAX(O9,Q9,S9,U9,W9,Y9,AA9,AC9,AE9,AG9,AI9,AK9,AM9,AO9)</f>
        <v>0</v>
      </c>
      <c r="O9" s="95" t="b">
        <f>IF($D9="MiF ",IF($E9="80m ",_xlfn.IFERROR(P9,VLOOKUP(F9,MiF_Courses!$C$3:$M$52,11,TRUE)-1),P9))</f>
        <v>0</v>
      </c>
      <c r="P9" s="12" t="b">
        <f>IF($D9="MiF ",IF($E9="80m ",VLOOKUP($F9,MiF_Courses!$C$3:$M$52,11,FALSE),"faux"))</f>
        <v>0</v>
      </c>
      <c r="Q9" s="95" t="str">
        <f>IF($D9="MiF ",IF($E9="120m ",_xlfn.IFERROR(R9,VLOOKUP($G9,MiF_Courses!D$3:M$52,10,TRUE)-1),""),R9)</f>
        <v>FAUX</v>
      </c>
      <c r="R9" s="32" t="str">
        <f>IF($D9="MiF ",IF($E9="120m ",VLOOKUP($G9,MiF_Courses!$D$3:$M$52,10,FALSE),""),"FAUX")</f>
        <v>FAUX</v>
      </c>
      <c r="S9" s="4" t="b">
        <f>IF($E9="1000m ",IF($D9="MiF ",_xlfn.IFERROR(T9,VLOOKUP(ROUNDUP($H9,1),MiF_Courses!E$3:M$52,9,TRUE)-1),T9))</f>
        <v>0</v>
      </c>
      <c r="T9" s="4" t="b">
        <f>IF($E9="1000m ",IF($D9="MiF ",VLOOKUP($H9,MiF_Courses!E$3:M$52,9,FALSE),""))</f>
        <v>0</v>
      </c>
      <c r="U9" s="4" t="str">
        <f>IF($D9="MiF ",IF($E9="2000m ",_xlfn.IFERROR(V9,VLOOKUP($I9,MiF_Courses!F$3:M$52,8,TRUE)-1),""),V9)</f>
        <v>FAUX</v>
      </c>
      <c r="V9" s="4" t="str">
        <f>IF($D9="MiF ",IF($E9="2000m ",VLOOKUP($I9,MiF_Courses!F$3:M$52,8,FALSE),""),"FAUX")</f>
        <v>FAUX</v>
      </c>
      <c r="W9" s="4" t="b">
        <f>IF($E9="80mH ",IF($D9="MiF ",_xlfn.IFERROR(X9,VLOOKUP(ROUNDUP($J9,1),MiF_Courses!H$3:M$52,6,TRUE)-1),X9))</f>
        <v>0</v>
      </c>
      <c r="X9" s="4" t="b">
        <f>IF($E9="80mH ",IF($D9="MiF ",VLOOKUP($J9,MiF_Courses!H$3:M$52,6,FALSE),""))</f>
        <v>0</v>
      </c>
      <c r="Y9" s="3" t="b">
        <f>IF($E9="200mH ",IF($D9="MiF ",_xlfn.IFERROR(Z9,VLOOKUP($L9,MiF_Courses!I$3:M$52,5,TRUE)-1),Z9))</f>
        <v>0</v>
      </c>
      <c r="Z9" s="26" t="str">
        <f>IF($E9="200mH ",IF($D9="MiF ",VLOOKUP($L9,MiF_Courses!I$3:M$52,5,FALSE),""),"FAUX")</f>
        <v>FAUX</v>
      </c>
      <c r="AA9" s="4" t="b">
        <f>IF($E9="3000m Marche ",IF($D9="MiF ",_xlfn.IFERROR(AB9,VLOOKUP($M9,MiF_Courses!J$3:M$52,4,TRUE)-1),AB9))</f>
        <v>0</v>
      </c>
      <c r="AB9" s="4" t="b">
        <f>IF($E9="3000m Marche ",IF($D9="MiF ",VLOOKUP($M9,MiF_Courses!J$3:M$52,4,FALSE),""),FALSE)</f>
        <v>0</v>
      </c>
      <c r="AC9" s="4" t="b">
        <f>IF($E9="80m ",IF($D9="MiM ",_xlfn.IFERROR(AD9,VLOOKUP($F9,MiM_Courses!C$3:M$52,11,TRUE)-1),AD9))</f>
        <v>0</v>
      </c>
      <c r="AD9" s="4" t="b">
        <f>IF($E9="80m ",IF($D9="MiM ",VLOOKUP($F9,MiM_Courses!C$3:M$52,11,FALSE),""),FALSE)</f>
        <v>0</v>
      </c>
      <c r="AE9" s="4" t="b">
        <f>IF($E9="120m ",IF($D9="MiM ",_xlfn.IFERROR(AF9,VLOOKUP($G9,MiM_Courses!D$3:M$52,10,TRUE)-1),AF9))</f>
        <v>0</v>
      </c>
      <c r="AF9" s="4" t="b">
        <f>IF($E9="120m ",IF($D9="MiM ",VLOOKUP($G9,MiM_Courses!D$3:M$52,10,FALSE),""),FALSE)</f>
        <v>0</v>
      </c>
      <c r="AG9" s="4" t="b">
        <f>IF($E9="1000m ",IF($D9="MiM ",_xlfn.IFERROR(AH9,VLOOKUP($H9,MiM_Courses!E$3:M$52,9,TRUE)-1),AH9))</f>
        <v>0</v>
      </c>
      <c r="AH9" s="75" t="str">
        <f>IF($E9="1000m ",IF($D9="MiM ",VLOOKUP($H9,MiM_Courses!E$3:M$52,9,FALSE),""),"FAUX")</f>
        <v>FAUX</v>
      </c>
      <c r="AI9" s="75" t="b">
        <f>IF($E9="2000m ",IF($D9="MiM ",_xlfn.IFERROR(AJ9,VLOOKUP($I9,MiM_Courses!F$3:M$52,8,TRUE)-1),AJ9))</f>
        <v>0</v>
      </c>
      <c r="AJ9" s="75" t="str">
        <f>IF($E9="2000m ",IF($D9="MiM ",VLOOKUP($I9,MiM_Courses!F$3:M$52,8,FALSE),""),"FAUX")</f>
        <v>FAUX</v>
      </c>
      <c r="AK9" s="4" t="b">
        <f>IF($E9="100mH ",IF($D9="MiM ",_xlfn.IFERROR(AL9,VLOOKUP($K9,MiM_Courses!H$3:M$52,6,"VRAI")-1),AL9))</f>
        <v>0</v>
      </c>
      <c r="AL9" s="75" t="str">
        <f>IF($E9="100mH ",IF($D9="MiM ",VLOOKUP(K9,MiM_Courses!H$3:M$51,6,FALSE),""),"FAUX")</f>
        <v>FAUX</v>
      </c>
      <c r="AM9" s="75" t="str">
        <f>IF($E9="200mH ",IF($D9="MiM ",_xlfn.IFERROR(AN9,VLOOKUP($L9,MiM_Courses!I$3:M$52,5,TRUE)-1),AN9),"FAUX")</f>
        <v>FAUX</v>
      </c>
      <c r="AN9" s="75" t="str">
        <f>IF($E9="200mH ",IF($D9="MiM ",VLOOKUP($L9,MiM_Courses!I$3:M$52,5,FALSE),""),"FAUX")</f>
        <v>FAUX</v>
      </c>
      <c r="AO9" s="75" t="str">
        <f>IF($E9="3000m Marche ",IF($D9="MiM ",_xlfn.IFERROR(AP9,VLOOKUP($M9,MiM_Courses!J$3:M$52,4,TRUE)-1),AP9),"FAUX")</f>
        <v>FAUX</v>
      </c>
      <c r="AP9" s="75" t="str">
        <f>IF($E9="3000m Marche ",IF($D9="MiM ",VLOOKUP($M9,MiM_Courses!J$3:M$52,4,FALSE),""),"FAUX")</f>
        <v>FAUX</v>
      </c>
      <c r="AR9" t="s">
        <v>154</v>
      </c>
    </row>
    <row r="10" spans="1:44" ht="15">
      <c r="A10" s="60"/>
      <c r="B10" s="46"/>
      <c r="C10" s="70"/>
      <c r="D10" s="67" t="s">
        <v>190</v>
      </c>
      <c r="E10" s="37"/>
      <c r="F10" s="171"/>
      <c r="G10" s="172"/>
      <c r="H10" s="167"/>
      <c r="I10" s="167"/>
      <c r="J10" s="176"/>
      <c r="K10" s="176"/>
      <c r="L10" s="176"/>
      <c r="M10" s="167"/>
      <c r="N10" s="61">
        <f>MAX(O10,Q10,S10,U10,W10,Y10,AA10,AC10,AE10,AG10,AI10,AK10,AM10,AO10)</f>
        <v>0</v>
      </c>
      <c r="O10" s="95" t="b">
        <f>IF($D10="MiF ",IF($E10="80m ",_xlfn.IFERROR(P10,VLOOKUP(F10,MiF_Courses!$C$3:$M$52,11,TRUE)-1),P10))</f>
        <v>0</v>
      </c>
      <c r="P10" s="12" t="b">
        <f>IF($D10="MiF ",IF($E10="80m ",VLOOKUP($F10,MiF_Courses!$C$3:$M$52,11,FALSE),"faux"))</f>
        <v>0</v>
      </c>
      <c r="Q10" s="95" t="str">
        <f>IF($D10="MiF ",IF($E10="120m ",_xlfn.IFERROR(R10,VLOOKUP($G10,MiF_Courses!D$3:M$52,10,TRUE)-1),""),R10)</f>
        <v>FAUX</v>
      </c>
      <c r="R10" s="32" t="str">
        <f>IF($D10="MiF ",IF($E10="120m ",VLOOKUP($G10,MiF_Courses!$D$3:$M$52,10,FALSE),""),"FAUX")</f>
        <v>FAUX</v>
      </c>
      <c r="S10" s="4" t="b">
        <f>IF($E10="1000m ",IF($D10="MiF ",_xlfn.IFERROR(T10,VLOOKUP(ROUNDUP($H10,1),MiF_Courses!E$3:M$52,9,TRUE)-1),T10))</f>
        <v>0</v>
      </c>
      <c r="T10" s="4" t="b">
        <f>IF($E10="1000m ",IF($D10="MiF ",VLOOKUP($H10,MiF_Courses!E$3:M$52,9,FALSE),""))</f>
        <v>0</v>
      </c>
      <c r="U10" s="4" t="str">
        <f>IF($D10="MiF ",IF($E10="2000m ",_xlfn.IFERROR(V10,VLOOKUP($I10,MiF_Courses!F$3:M$52,8,TRUE)-1),""),V10)</f>
        <v>FAUX</v>
      </c>
      <c r="V10" s="4" t="str">
        <f>IF($D10="MiF ",IF($E10="2000m ",VLOOKUP($I10,MiF_Courses!F$3:M$52,8,FALSE),""),"FAUX")</f>
        <v>FAUX</v>
      </c>
      <c r="W10" s="4" t="b">
        <f>IF($E10="80mH ",IF($D10="MiF ",_xlfn.IFERROR(X10,VLOOKUP(ROUNDUP($J10,1),MiF_Courses!H$3:M$52,6,TRUE)-1),X10))</f>
        <v>0</v>
      </c>
      <c r="X10" s="4" t="b">
        <f>IF($E10="80mH ",IF($D10="MiF ",VLOOKUP($J10,MiF_Courses!H$3:M$52,6,FALSE),""))</f>
        <v>0</v>
      </c>
      <c r="Y10" s="3" t="b">
        <f>IF($E10="200mH ",IF($D10="MiF ",_xlfn.IFERROR(Z10,VLOOKUP($L10,MiF_Courses!I$3:M$52,5,TRUE)-1),Z10))</f>
        <v>0</v>
      </c>
      <c r="Z10" s="26" t="str">
        <f>IF($E10="200mH ",IF($D10="MiF ",VLOOKUP($L10,MiF_Courses!I$3:M$52,5,FALSE),""),"FAUX")</f>
        <v>FAUX</v>
      </c>
      <c r="AA10" s="4" t="b">
        <f>IF($E10="3000m Marche ",IF($D10="MiF ",_xlfn.IFERROR(AB10,VLOOKUP($M10,MiF_Courses!J$3:M$52,4,TRUE)-1),AB10))</f>
        <v>0</v>
      </c>
      <c r="AB10" s="4" t="b">
        <f>IF($E10="3000m Marche ",IF($D10="MiF ",VLOOKUP($M10,MiF_Courses!J$3:M$52,4,FALSE),""),FALSE)</f>
        <v>0</v>
      </c>
      <c r="AC10" s="4" t="b">
        <f>IF($E10="80m ",IF($D10="MiM ",_xlfn.IFERROR(AD10,VLOOKUP($F10,MiM_Courses!C$3:M$52,11,TRUE)-1),AD10))</f>
        <v>0</v>
      </c>
      <c r="AD10" s="4" t="b">
        <f>IF($E10="80m ",IF($D10="MiM ",VLOOKUP($F10,MiM_Courses!C$3:M$52,11,FALSE),""),FALSE)</f>
        <v>0</v>
      </c>
      <c r="AE10" s="4" t="b">
        <f>IF($E10="120m ",IF($D10="MiM ",_xlfn.IFERROR(AF10,VLOOKUP($G10,MiM_Courses!D$3:M$52,10,TRUE)-1),AF10))</f>
        <v>0</v>
      </c>
      <c r="AF10" s="4" t="b">
        <f>IF($E10="120m ",IF($D10="MiM ",VLOOKUP($G10,MiM_Courses!D$3:M$52,10,FALSE),""),FALSE)</f>
        <v>0</v>
      </c>
      <c r="AG10" s="4" t="b">
        <f>IF($E10="1000m ",IF($D10="MiM ",_xlfn.IFERROR(AH10,VLOOKUP($H10,MiM_Courses!E$3:M$52,9,TRUE)-1),AH10))</f>
        <v>0</v>
      </c>
      <c r="AH10" s="75" t="str">
        <f>IF($E10="1000m ",IF($D10="MiM ",VLOOKUP($H10,MiM_Courses!E$3:M$52,9,FALSE),""),"FAUX")</f>
        <v>FAUX</v>
      </c>
      <c r="AI10" s="75" t="b">
        <f>IF($E10="2000m ",IF($D10="MiM ",_xlfn.IFERROR(AJ10,VLOOKUP($I10,MiM_Courses!F$3:M$52,8,TRUE)-1),AJ10))</f>
        <v>0</v>
      </c>
      <c r="AJ10" s="75" t="str">
        <f>IF($E10="2000m ",IF($D10="MiM ",VLOOKUP($I10,MiM_Courses!F$3:M$52,8,FALSE),""),"FAUX")</f>
        <v>FAUX</v>
      </c>
      <c r="AK10" s="4" t="b">
        <f>IF($E10="100mH ",IF($D10="MiM ",_xlfn.IFERROR(AL10,VLOOKUP($K10,MiM_Courses!H$3:M$52,6,"VRAI")-1),AL10))</f>
        <v>0</v>
      </c>
      <c r="AL10" s="75" t="str">
        <f>IF($E10="100mH ",IF($D10="MiM ",VLOOKUP(K10,MiM_Courses!H$3:M$51,6,FALSE),""),"FAUX")</f>
        <v>FAUX</v>
      </c>
      <c r="AM10" s="75" t="str">
        <f>IF($E10="200mH ",IF($D10="MiM ",_xlfn.IFERROR(AN10,VLOOKUP($L10,MiM_Courses!I$3:M$52,5,TRUE)-1),AN10),"FAUX")</f>
        <v>FAUX</v>
      </c>
      <c r="AN10" s="75" t="str">
        <f>IF($E10="200mH ",IF($D10="MiM ",VLOOKUP($L10,MiM_Courses!I$3:M$52,5,FALSE),""),"FAUX")</f>
        <v>FAUX</v>
      </c>
      <c r="AO10" s="75" t="str">
        <f>IF($E10="3000m Marche ",IF($D10="MiM ",_xlfn.IFERROR(AP10,VLOOKUP($M10,MiM_Courses!J$3:M$52,4,TRUE)-1),AP10),"FAUX")</f>
        <v>FAUX</v>
      </c>
      <c r="AP10" s="75" t="str">
        <f>IF($E10="3000m Marche ",IF($D10="MiM ",VLOOKUP($M10,MiM_Courses!J$3:M$52,4,FALSE),""),"FAUX")</f>
        <v>FAUX</v>
      </c>
      <c r="AR10" t="s">
        <v>68</v>
      </c>
    </row>
    <row r="11" spans="1:44" ht="15">
      <c r="A11" s="60"/>
      <c r="B11" s="46"/>
      <c r="C11" s="70"/>
      <c r="D11" s="67" t="s">
        <v>189</v>
      </c>
      <c r="E11" s="37"/>
      <c r="F11" s="171"/>
      <c r="G11" s="172"/>
      <c r="H11" s="167"/>
      <c r="I11" s="167"/>
      <c r="J11" s="176"/>
      <c r="K11" s="176"/>
      <c r="L11" s="176"/>
      <c r="M11" s="167"/>
      <c r="N11" s="61">
        <f aca="true" t="shared" si="0" ref="N11:N38">MAX(O11,Q11,S11,U11,W11,Y11,AA11,AC11,AE11,AG11,AI11,AK11,AM11,AO11)</f>
        <v>0</v>
      </c>
      <c r="O11" s="95" t="str">
        <f>IF($D11="MiF ",IF($E11="80m ",_xlfn.IFERROR(P11,VLOOKUP(F11,MiF_Courses!$C$3:$M$52,11,TRUE)-1),P11))</f>
        <v>faux</v>
      </c>
      <c r="P11" s="12" t="str">
        <f>IF($D11="MiF ",IF($E11="80m ",VLOOKUP($F11,MiF_Courses!$C$3:$M$52,11,FALSE),"faux"))</f>
        <v>faux</v>
      </c>
      <c r="Q11" s="95" t="str">
        <f>IF($D11="MiF ",IF($E11="120m ",_xlfn.IFERROR(R11,VLOOKUP($G11,MiF_Courses!D$3:M$52,10,TRUE)-1),""),R11)</f>
        <v/>
      </c>
      <c r="R11" s="32" t="str">
        <f>IF($D11="MiF ",IF($E11="120m ",VLOOKUP($G11,MiF_Courses!$D$3:$M$52,10,FALSE),""),"FAUX")</f>
        <v/>
      </c>
      <c r="S11" s="4" t="b">
        <f>IF($E11="1000m ",IF($D11="MiF ",_xlfn.IFERROR(T11,VLOOKUP(ROUNDUP($H11,1),MiF_Courses!E$3:M$52,9,TRUE)-1),T11))</f>
        <v>0</v>
      </c>
      <c r="T11" s="4" t="b">
        <f>IF($E11="1000m ",IF($D11="MiF ",VLOOKUP($H11,MiF_Courses!E$3:M$52,9,FALSE),""))</f>
        <v>0</v>
      </c>
      <c r="U11" s="4" t="str">
        <f>IF($D11="MiF ",IF($E11="2000m ",_xlfn.IFERROR(V11,VLOOKUP($I11,MiF_Courses!F$3:M$52,8,TRUE)-1),""),V11)</f>
        <v/>
      </c>
      <c r="V11" s="4" t="str">
        <f>IF($D11="MiF ",IF($E11="2000m ",VLOOKUP($I11,MiF_Courses!F$3:M$52,8,FALSE),""),"FAUX")</f>
        <v/>
      </c>
      <c r="W11" s="4" t="b">
        <f>IF($E11="80mH ",IF($D11="MiF ",_xlfn.IFERROR(X11,VLOOKUP(ROUNDUP($J11,1),MiF_Courses!H$3:M$52,6,TRUE)-1),X11))</f>
        <v>0</v>
      </c>
      <c r="X11" s="4" t="b">
        <f>IF($E11="80mH ",IF($D11="MiF ",VLOOKUP($J11,MiF_Courses!H$3:M$52,6,FALSE),""))</f>
        <v>0</v>
      </c>
      <c r="Y11" s="3" t="b">
        <f>IF($E11="200mH ",IF($D11="MiF ",_xlfn.IFERROR(Z11,VLOOKUP($L11,MiF_Courses!I$3:M$52,5,TRUE)-1),Z11))</f>
        <v>0</v>
      </c>
      <c r="Z11" s="26" t="str">
        <f>IF($E11="200mH ",IF($D11="MiF ",VLOOKUP($L11,MiF_Courses!I$3:M$52,5,FALSE),""),"FAUX")</f>
        <v>FAUX</v>
      </c>
      <c r="AA11" s="4" t="b">
        <f>IF($E11="3000m Marche ",IF($D11="MiF ",_xlfn.IFERROR(AB11,VLOOKUP($M11,MiF_Courses!J$3:M$52,4,TRUE)-1),AB11))</f>
        <v>0</v>
      </c>
      <c r="AB11" s="4" t="b">
        <f>IF($E11="3000m Marche ",IF($D11="MiF ",VLOOKUP($M11,MiF_Courses!J$3:M$52,4,FALSE),""),FALSE)</f>
        <v>0</v>
      </c>
      <c r="AC11" s="4" t="b">
        <f>IF($E11="80m ",IF($D11="MiM ",_xlfn.IFERROR(AD11,VLOOKUP($F11,MiM_Courses!C$3:M$52,11,TRUE)-1),AD11))</f>
        <v>0</v>
      </c>
      <c r="AD11" s="4" t="b">
        <f>IF($E11="80m ",IF($D11="MiM ",VLOOKUP($F11,MiM_Courses!C$3:M$52,11,FALSE),""),FALSE)</f>
        <v>0</v>
      </c>
      <c r="AE11" s="4" t="b">
        <f>IF($E11="120m ",IF($D11="MiM ",_xlfn.IFERROR(AF11,VLOOKUP($G11,MiM_Courses!D$3:M$52,10,TRUE)-1),AF11))</f>
        <v>0</v>
      </c>
      <c r="AF11" s="4" t="b">
        <f>IF($E11="120m ",IF($D11="MiM ",VLOOKUP($G11,MiM_Courses!D$3:M$52,10,FALSE),""),FALSE)</f>
        <v>0</v>
      </c>
      <c r="AG11" s="4" t="b">
        <f>IF($E11="1000m ",IF($D11="MiM ",_xlfn.IFERROR(AH11,VLOOKUP($H11,MiM_Courses!E$3:M$52,9,TRUE)-1),AH11))</f>
        <v>0</v>
      </c>
      <c r="AH11" s="75" t="str">
        <f>IF($E11="1000m ",IF($D11="MiM ",VLOOKUP($H11,MiM_Courses!E$3:M$52,9,FALSE),""),"FAUX")</f>
        <v>FAUX</v>
      </c>
      <c r="AI11" s="75" t="b">
        <f>IF($E11="2000m ",IF($D11="MiM ",_xlfn.IFERROR(AJ11,VLOOKUP($I11,MiM_Courses!F$3:M$52,8,TRUE)-1),AJ11))</f>
        <v>0</v>
      </c>
      <c r="AJ11" s="75" t="str">
        <f>IF($E11="2000m ",IF($D11="MiM ",VLOOKUP($I11,MiM_Courses!F$3:M$52,8,FALSE),""),"FAUX")</f>
        <v>FAUX</v>
      </c>
      <c r="AK11" s="4" t="b">
        <f>IF($E11="100mH ",IF($D11="MiM ",_xlfn.IFERROR(AL11,VLOOKUP($K11,MiM_Courses!H$3:M$52,6,"VRAI")-1),AL11))</f>
        <v>0</v>
      </c>
      <c r="AL11" s="75" t="str">
        <f>IF($E11="100mH ",IF($D11="MiM ",VLOOKUP(K11,MiM_Courses!H$3:M$51,6,FALSE),""),"FAUX")</f>
        <v>FAUX</v>
      </c>
      <c r="AM11" s="75" t="str">
        <f>IF($E11="200mH ",IF($D11="MiM ",_xlfn.IFERROR(AN11,VLOOKUP($L11,MiM_Courses!I$3:M$52,5,TRUE)-1),AN11),"FAUX")</f>
        <v>FAUX</v>
      </c>
      <c r="AN11" s="75" t="str">
        <f>IF($E11="200mH ",IF($D11="MiM ",VLOOKUP($L11,MiM_Courses!I$3:M$52,5,FALSE),""),"FAUX")</f>
        <v>FAUX</v>
      </c>
      <c r="AO11" s="75" t="str">
        <f>IF($E11="3000m Marche ",IF($D11="MiM ",_xlfn.IFERROR(AP11,VLOOKUP($M11,MiM_Courses!J$3:M$52,4,TRUE)-1),AP11),"FAUX")</f>
        <v>FAUX</v>
      </c>
      <c r="AP11" s="75" t="str">
        <f>IF($E11="3000m Marche ",IF($D11="MiM ",VLOOKUP($M11,MiM_Courses!J$3:M$52,4,FALSE),""),"FAUX")</f>
        <v>FAUX</v>
      </c>
      <c r="AR11" t="s">
        <v>188</v>
      </c>
    </row>
    <row r="12" spans="1:46" ht="15">
      <c r="A12" s="60"/>
      <c r="B12" s="46"/>
      <c r="C12" s="70"/>
      <c r="D12" s="67" t="s">
        <v>189</v>
      </c>
      <c r="E12" s="37"/>
      <c r="F12" s="171"/>
      <c r="G12" s="172"/>
      <c r="H12" s="167"/>
      <c r="I12" s="167"/>
      <c r="J12" s="176"/>
      <c r="K12" s="176"/>
      <c r="L12" s="176"/>
      <c r="M12" s="167"/>
      <c r="N12" s="61">
        <f t="shared" si="0"/>
        <v>0</v>
      </c>
      <c r="O12" s="95" t="str">
        <f>IF($D12="MiF ",IF($E12="80m ",_xlfn.IFERROR(P12,VLOOKUP(F12,MiF_Courses!$C$3:$M$52,11,TRUE)-1),P12))</f>
        <v>faux</v>
      </c>
      <c r="P12" s="12" t="str">
        <f>IF($D12="MiF ",IF($E12="80m ",VLOOKUP($F12,MiF_Courses!$C$3:$M$52,11,FALSE),"faux"))</f>
        <v>faux</v>
      </c>
      <c r="Q12" s="95" t="str">
        <f>IF($D12="MiF ",IF($E12="120m ",_xlfn.IFERROR(R12,VLOOKUP($G12,MiF_Courses!D$3:M$52,10,TRUE)-1),""),R12)</f>
        <v/>
      </c>
      <c r="R12" s="32" t="str">
        <f>IF($D12="MiF ",IF($E12="120m ",VLOOKUP($G12,MiF_Courses!$D$3:$M$52,10,FALSE),""),"FAUX")</f>
        <v/>
      </c>
      <c r="S12" s="4" t="b">
        <f>IF($E12="1000m ",IF($D12="MiF ",_xlfn.IFERROR(T12,VLOOKUP(ROUNDUP($H12,1),MiF_Courses!E$3:M$52,9,TRUE)-1),T12))</f>
        <v>0</v>
      </c>
      <c r="T12" s="4" t="b">
        <f>IF($E12="1000m ",IF($D12="MiF ",VLOOKUP($H12,MiF_Courses!E$3:M$52,9,FALSE),""))</f>
        <v>0</v>
      </c>
      <c r="U12" s="4" t="str">
        <f>IF($D12="MiF ",IF($E12="2000m ",_xlfn.IFERROR(V12,VLOOKUP($I12,MiF_Courses!F$3:M$52,8,TRUE)-1),""),V12)</f>
        <v/>
      </c>
      <c r="V12" s="4" t="str">
        <f>IF($D12="MiF ",IF($E12="2000m ",VLOOKUP($I12,MiF_Courses!F$3:M$52,8,FALSE),""),"FAUX")</f>
        <v/>
      </c>
      <c r="W12" s="4" t="b">
        <f>IF($E12="80mH ",IF($D12="MiF ",_xlfn.IFERROR(X12,VLOOKUP(ROUNDUP($J12,1),MiF_Courses!H$3:M$52,6,TRUE)-1),X12))</f>
        <v>0</v>
      </c>
      <c r="X12" s="4" t="b">
        <f>IF($E12="80mH ",IF($D12="MiF ",VLOOKUP($J12,MiF_Courses!H$3:M$52,6,FALSE),""))</f>
        <v>0</v>
      </c>
      <c r="Y12" s="3" t="b">
        <f>IF($E12="200mH ",IF($D12="MiF ",_xlfn.IFERROR(Z12,VLOOKUP($L12,MiF_Courses!I$3:M$52,5,TRUE)-1),Z12))</f>
        <v>0</v>
      </c>
      <c r="Z12" s="26" t="str">
        <f>IF($E12="200mH ",IF($D12="MiF ",VLOOKUP($L12,MiF_Courses!I$3:M$52,5,FALSE),""),"FAUX")</f>
        <v>FAUX</v>
      </c>
      <c r="AA12" s="4" t="b">
        <f>IF($E12="3000m Marche ",IF($D12="MiF ",_xlfn.IFERROR(AB12,VLOOKUP($M12,MiF_Courses!J$3:M$52,4,TRUE)-1),AB12))</f>
        <v>0</v>
      </c>
      <c r="AB12" s="4" t="b">
        <f>IF($E12="3000m Marche ",IF($D12="MiF ",VLOOKUP($M12,MiF_Courses!J$3:M$52,4,FALSE),""),FALSE)</f>
        <v>0</v>
      </c>
      <c r="AC12" s="4" t="b">
        <f>IF($E12="80m ",IF($D12="MiM ",_xlfn.IFERROR(AD12,VLOOKUP($F12,MiM_Courses!C$3:M$52,11,TRUE)-1),AD12))</f>
        <v>0</v>
      </c>
      <c r="AD12" s="4" t="b">
        <f>IF($E12="80m ",IF($D12="MiM ",VLOOKUP($F12,MiM_Courses!C$3:M$52,11,FALSE),""),FALSE)</f>
        <v>0</v>
      </c>
      <c r="AE12" s="4" t="b">
        <f>IF($E12="120m ",IF($D12="MiM ",_xlfn.IFERROR(AF12,VLOOKUP($G12,MiM_Courses!D$3:M$52,10,TRUE)-1),AF12))</f>
        <v>0</v>
      </c>
      <c r="AF12" s="4" t="b">
        <f>IF($E12="120m ",IF($D12="MiM ",VLOOKUP($G12,MiM_Courses!D$3:M$52,10,FALSE),""),FALSE)</f>
        <v>0</v>
      </c>
      <c r="AG12" s="4" t="b">
        <f>IF($E12="1000m ",IF($D12="MiM ",_xlfn.IFERROR(AH12,VLOOKUP($H12,MiM_Courses!E$3:M$52,9,TRUE)-1),AH12))</f>
        <v>0</v>
      </c>
      <c r="AH12" s="75" t="str">
        <f>IF($E12="1000m ",IF($D12="MiM ",VLOOKUP($H12,MiM_Courses!E$3:M$52,9,FALSE),""),"FAUX")</f>
        <v>FAUX</v>
      </c>
      <c r="AI12" s="75" t="b">
        <f>IF($E12="2000m ",IF($D12="MiM ",_xlfn.IFERROR(AJ12,VLOOKUP($I12,MiM_Courses!F$3:M$52,8,TRUE)-1),AJ12))</f>
        <v>0</v>
      </c>
      <c r="AJ12" s="75" t="str">
        <f>IF($E12="2000m ",IF($D12="MiM ",VLOOKUP($I12,MiM_Courses!F$3:M$52,8,FALSE),""),"FAUX")</f>
        <v>FAUX</v>
      </c>
      <c r="AK12" s="4" t="b">
        <f>IF($E12="100mH ",IF($D12="MiM ",_xlfn.IFERROR(AL12,VLOOKUP($K12,MiM_Courses!H$3:M$52,6,"VRAI")-1),AL12))</f>
        <v>0</v>
      </c>
      <c r="AL12" s="75" t="str">
        <f>IF($E12="100mH ",IF($D12="MiM ",VLOOKUP(K12,MiM_Courses!H$3:M$51,6,FALSE),""),"FAUX")</f>
        <v>FAUX</v>
      </c>
      <c r="AM12" s="75" t="str">
        <f>IF($E12="200mH ",IF($D12="MiM ",_xlfn.IFERROR(AN12,VLOOKUP($L12,MiM_Courses!I$3:M$52,5,TRUE)-1),AN12),"FAUX")</f>
        <v>FAUX</v>
      </c>
      <c r="AN12" s="75" t="str">
        <f>IF($E12="200mH ",IF($D12="MiM ",VLOOKUP($L12,MiM_Courses!I$3:M$52,5,FALSE),""),"FAUX")</f>
        <v>FAUX</v>
      </c>
      <c r="AO12" s="75" t="str">
        <f>IF($E12="3000m Marche ",IF($D12="MiM ",_xlfn.IFERROR(AP12,VLOOKUP($M12,MiM_Courses!J$3:M$52,4,TRUE)-1),AP12),"FAUX")</f>
        <v>FAUX</v>
      </c>
      <c r="AP12" s="75" t="str">
        <f>IF($E12="3000m Marche ",IF($D12="MiM ",VLOOKUP($M12,MiM_Courses!J$3:M$52,4,FALSE),""),"FAUX")</f>
        <v>FAUX</v>
      </c>
      <c r="AR12" t="s">
        <v>155</v>
      </c>
      <c r="AT12" t="s">
        <v>157</v>
      </c>
    </row>
    <row r="13" spans="1:46" ht="15">
      <c r="A13" s="60"/>
      <c r="B13" s="46"/>
      <c r="C13" s="70"/>
      <c r="D13" s="67" t="s">
        <v>189</v>
      </c>
      <c r="E13" s="37"/>
      <c r="F13" s="171"/>
      <c r="G13" s="172"/>
      <c r="H13" s="167"/>
      <c r="I13" s="167"/>
      <c r="J13" s="176"/>
      <c r="K13" s="176"/>
      <c r="L13" s="176"/>
      <c r="M13" s="167"/>
      <c r="N13" s="61">
        <f t="shared" si="0"/>
        <v>0</v>
      </c>
      <c r="O13" s="95" t="str">
        <f>IF($D13="MiF ",IF($E13="80m ",_xlfn.IFERROR(P13,VLOOKUP(F13,MiF_Courses!$C$3:$M$52,11,TRUE)-1),P13))</f>
        <v>faux</v>
      </c>
      <c r="P13" s="12" t="str">
        <f>IF($D13="MiF ",IF($E13="80m ",VLOOKUP($F13,MiF_Courses!$C$3:$M$52,11,FALSE),"faux"))</f>
        <v>faux</v>
      </c>
      <c r="Q13" s="95" t="str">
        <f>IF($D13="MiF ",IF($E13="120m ",_xlfn.IFERROR(R13,VLOOKUP($G13,MiF_Courses!D$3:M$52,10,TRUE)-1),""),R13)</f>
        <v/>
      </c>
      <c r="R13" s="32" t="str">
        <f>IF($D13="MiF ",IF($E13="120m ",VLOOKUP($G13,MiF_Courses!$D$3:$M$52,10,FALSE),""),"FAUX")</f>
        <v/>
      </c>
      <c r="S13" s="4" t="b">
        <f>IF($E13="1000m ",IF($D13="MiF ",_xlfn.IFERROR(T13,VLOOKUP(ROUNDUP($H13,1),MiF_Courses!E$3:M$52,9,TRUE)-1),T13))</f>
        <v>0</v>
      </c>
      <c r="T13" s="4" t="b">
        <f>IF($E13="1000m ",IF($D13="MiF ",VLOOKUP($H13,MiF_Courses!E$3:M$52,9,FALSE),""))</f>
        <v>0</v>
      </c>
      <c r="U13" s="4" t="str">
        <f>IF($D13="MiF ",IF($E13="2000m ",_xlfn.IFERROR(V13,VLOOKUP($I13,MiF_Courses!F$3:M$52,8,TRUE)-1),""),V13)</f>
        <v/>
      </c>
      <c r="V13" s="4" t="str">
        <f>IF($D13="MiF ",IF($E13="2000m ",VLOOKUP($I13,MiF_Courses!F$3:M$52,8,FALSE),""),"FAUX")</f>
        <v/>
      </c>
      <c r="W13" s="4" t="b">
        <f>IF($E13="80mH ",IF($D13="MiF ",_xlfn.IFERROR(X13,VLOOKUP(ROUNDUP($J13,1),MiF_Courses!H$3:M$52,6,TRUE)-1),X13))</f>
        <v>0</v>
      </c>
      <c r="X13" s="4" t="b">
        <f>IF($E13="80mH ",IF($D13="MiF ",VLOOKUP($J13,MiF_Courses!H$3:M$52,6,FALSE),""))</f>
        <v>0</v>
      </c>
      <c r="Y13" s="3" t="b">
        <f>IF($E13="200mH ",IF($D13="MiF ",_xlfn.IFERROR(Z13,VLOOKUP($L13,MiF_Courses!I$3:M$52,5,TRUE)-1),Z13))</f>
        <v>0</v>
      </c>
      <c r="Z13" s="26" t="str">
        <f>IF($E13="200mH ",IF($D13="MiF ",VLOOKUP($L13,MiF_Courses!I$3:M$52,5,FALSE),""),"FAUX")</f>
        <v>FAUX</v>
      </c>
      <c r="AA13" s="4" t="b">
        <f>IF($E13="3000m Marche ",IF($D13="MiF ",_xlfn.IFERROR(AB13,VLOOKUP($M13,MiF_Courses!J$3:M$52,4,TRUE)-1),AB13))</f>
        <v>0</v>
      </c>
      <c r="AB13" s="4" t="b">
        <f>IF($E13="3000m Marche ",IF($D13="MiF ",VLOOKUP($M13,MiF_Courses!J$3:M$52,4,FALSE),""),FALSE)</f>
        <v>0</v>
      </c>
      <c r="AC13" s="4" t="b">
        <f>IF($E13="80m ",IF($D13="MiM ",_xlfn.IFERROR(AD13,VLOOKUP($F13,MiM_Courses!C$3:M$52,11,TRUE)-1),AD13))</f>
        <v>0</v>
      </c>
      <c r="AD13" s="4" t="b">
        <f>IF($E13="80m ",IF($D13="MiM ",VLOOKUP($F13,MiM_Courses!C$3:M$52,11,FALSE),""),FALSE)</f>
        <v>0</v>
      </c>
      <c r="AE13" s="4" t="b">
        <f>IF($E13="120m ",IF($D13="MiM ",_xlfn.IFERROR(AF13,VLOOKUP($G13,MiM_Courses!D$3:M$52,10,TRUE)-1),AF13))</f>
        <v>0</v>
      </c>
      <c r="AF13" s="4" t="b">
        <f>IF($E13="120m ",IF($D13="MiM ",VLOOKUP($G13,MiM_Courses!D$3:M$52,10,FALSE),""),FALSE)</f>
        <v>0</v>
      </c>
      <c r="AG13" s="4" t="b">
        <f>IF($E13="1000m ",IF($D13="MiM ",_xlfn.IFERROR(AH13,VLOOKUP($H13,MiM_Courses!E$3:M$52,9,TRUE)-1),AH13))</f>
        <v>0</v>
      </c>
      <c r="AH13" s="75" t="str">
        <f>IF($E13="1000m ",IF($D13="MiM ",VLOOKUP($H13,MiM_Courses!E$3:M$52,9,FALSE),""),"FAUX")</f>
        <v>FAUX</v>
      </c>
      <c r="AI13" s="75" t="b">
        <f>IF($E13="2000m ",IF($D13="MiM ",_xlfn.IFERROR(AJ13,VLOOKUP($I13,MiM_Courses!F$3:M$52,8,TRUE)-1),AJ13))</f>
        <v>0</v>
      </c>
      <c r="AJ13" s="75" t="str">
        <f>IF($E13="2000m ",IF($D13="MiM ",VLOOKUP($I13,MiM_Courses!F$3:M$52,8,FALSE),""),"FAUX")</f>
        <v>FAUX</v>
      </c>
      <c r="AK13" s="4" t="b">
        <f>IF($E13="100mH ",IF($D13="MiM ",_xlfn.IFERROR(AL13,VLOOKUP($K13,MiM_Courses!H$3:M$52,6,"VRAI")-1),AL13))</f>
        <v>0</v>
      </c>
      <c r="AL13" s="75" t="str">
        <f>IF($E13="100mH ",IF($D13="MiM ",VLOOKUP(K13,MiM_Courses!H$3:M$51,6,FALSE),""),"FAUX")</f>
        <v>FAUX</v>
      </c>
      <c r="AM13" s="75" t="str">
        <f>IF($E13="200mH ",IF($D13="MiM ",_xlfn.IFERROR(AN13,VLOOKUP($L13,MiM_Courses!I$3:M$52,5,TRUE)-1),AN13),"FAUX")</f>
        <v>FAUX</v>
      </c>
      <c r="AN13" s="75" t="str">
        <f>IF($E13="200mH ",IF($D13="MiM ",VLOOKUP($L13,MiM_Courses!I$3:M$52,5,FALSE),""),"FAUX")</f>
        <v>FAUX</v>
      </c>
      <c r="AO13" s="75" t="str">
        <f>IF($E13="3000m Marche ",IF($D13="MiM ",_xlfn.IFERROR(AP13,VLOOKUP($M13,MiM_Courses!J$3:M$52,4,TRUE)-1),AP13),"FAUX")</f>
        <v>FAUX</v>
      </c>
      <c r="AP13" s="75" t="str">
        <f>IF($E13="3000m Marche ",IF($D13="MiM ",VLOOKUP($M13,MiM_Courses!J$3:M$52,4,FALSE),""),"FAUX")</f>
        <v>FAUX</v>
      </c>
      <c r="AR13" t="s">
        <v>158</v>
      </c>
      <c r="AT13" t="s">
        <v>159</v>
      </c>
    </row>
    <row r="14" spans="1:46" ht="15">
      <c r="A14" s="60"/>
      <c r="B14" s="46"/>
      <c r="C14" s="70"/>
      <c r="D14" s="67" t="s">
        <v>189</v>
      </c>
      <c r="E14" s="37"/>
      <c r="F14" s="171"/>
      <c r="G14" s="172"/>
      <c r="H14" s="167"/>
      <c r="I14" s="167"/>
      <c r="J14" s="176"/>
      <c r="K14" s="176"/>
      <c r="L14" s="176"/>
      <c r="M14" s="167">
        <v>17.254</v>
      </c>
      <c r="N14" s="61">
        <f t="shared" si="0"/>
        <v>0</v>
      </c>
      <c r="O14" s="95" t="str">
        <f>IF($D14="MiF ",IF($E14="80m ",_xlfn.IFERROR(P14,VLOOKUP(F14,MiF_Courses!$C$3:$M$52,11,TRUE)-1),P14))</f>
        <v>faux</v>
      </c>
      <c r="P14" s="12" t="str">
        <f>IF($D14="MiF ",IF($E14="80m ",VLOOKUP($F14,MiF_Courses!$C$3:$M$52,11,FALSE),"faux"))</f>
        <v>faux</v>
      </c>
      <c r="Q14" s="95" t="str">
        <f>IF($D14="MiF ",IF($E14="120m ",_xlfn.IFERROR(R14,VLOOKUP($G14,MiF_Courses!D$3:M$52,10,TRUE)-1),""),R14)</f>
        <v/>
      </c>
      <c r="R14" s="32" t="str">
        <f>IF($D14="MiF ",IF($E14="120m ",VLOOKUP($G14,MiF_Courses!$D$3:$M$52,10,FALSE),""),"FAUX")</f>
        <v/>
      </c>
      <c r="S14" s="4" t="b">
        <f>IF($E14="1000m ",IF($D14="MiF ",_xlfn.IFERROR(T14,VLOOKUP(ROUNDUP($H14,1),MiF_Courses!E$3:M$52,9,TRUE)-1),T14))</f>
        <v>0</v>
      </c>
      <c r="T14" s="4" t="b">
        <f>IF($E14="1000m ",IF($D14="MiF ",VLOOKUP($H14,MiF_Courses!E$3:M$52,9,FALSE),""))</f>
        <v>0</v>
      </c>
      <c r="U14" s="4" t="str">
        <f>IF($D14="MiF ",IF($E14="2000m ",_xlfn.IFERROR(V14,VLOOKUP($I14,MiF_Courses!F$3:M$52,8,TRUE)-1),""),V14)</f>
        <v/>
      </c>
      <c r="V14" s="4" t="str">
        <f>IF($D14="MiF ",IF($E14="2000m ",VLOOKUP($I14,MiF_Courses!F$3:M$52,8,FALSE),""),"FAUX")</f>
        <v/>
      </c>
      <c r="W14" s="4" t="b">
        <f>IF($E14="80mH ",IF($D14="MiF ",_xlfn.IFERROR(X14,VLOOKUP(ROUNDUP($J14,1),MiF_Courses!H$3:M$52,6,TRUE)-1),X14))</f>
        <v>0</v>
      </c>
      <c r="X14" s="4" t="b">
        <f>IF($E14="80mH ",IF($D14="MiF ",VLOOKUP($J14,MiF_Courses!H$3:M$52,6,FALSE),""))</f>
        <v>0</v>
      </c>
      <c r="Y14" s="3" t="b">
        <f>IF($E14="200mH ",IF($D14="MiF ",_xlfn.IFERROR(Z14,VLOOKUP($L14,MiF_Courses!I$3:M$52,5,TRUE)-1),Z14))</f>
        <v>0</v>
      </c>
      <c r="Z14" s="26" t="str">
        <f>IF($E14="200mH ",IF($D14="MiF ",VLOOKUP($L14,MiF_Courses!I$3:M$52,5,FALSE),""),"FAUX")</f>
        <v>FAUX</v>
      </c>
      <c r="AA14" s="4" t="b">
        <f>IF($E14="3000m Marche ",IF($D14="MiF ",_xlfn.IFERROR(AB14,VLOOKUP($M14,MiF_Courses!J$3:M$52,4,TRUE)-1),AB14))</f>
        <v>0</v>
      </c>
      <c r="AB14" s="4" t="b">
        <f>IF($E14="3000m Marche ",IF($D14="MiF ",VLOOKUP($M14,MiF_Courses!J$3:M$52,4,FALSE),""),FALSE)</f>
        <v>0</v>
      </c>
      <c r="AC14" s="4" t="b">
        <f>IF($E14="80m ",IF($D14="MiM ",_xlfn.IFERROR(AD14,VLOOKUP($F14,MiM_Courses!C$3:M$52,11,TRUE)-1),AD14))</f>
        <v>0</v>
      </c>
      <c r="AD14" s="4" t="b">
        <f>IF($E14="80m ",IF($D14="MiM ",VLOOKUP($F14,MiM_Courses!C$3:M$52,11,FALSE),""),FALSE)</f>
        <v>0</v>
      </c>
      <c r="AE14" s="4" t="b">
        <f>IF($E14="120m ",IF($D14="MiM ",_xlfn.IFERROR(AF14,VLOOKUP($G14,MiM_Courses!D$3:M$52,10,TRUE)-1),AF14))</f>
        <v>0</v>
      </c>
      <c r="AF14" s="4" t="b">
        <f>IF($E14="120m ",IF($D14="MiM ",VLOOKUP($G14,MiM_Courses!D$3:M$52,10,FALSE),""),FALSE)</f>
        <v>0</v>
      </c>
      <c r="AG14" s="4" t="b">
        <f>IF($E14="1000m ",IF($D14="MiM ",_xlfn.IFERROR(AH14,VLOOKUP($H14,MiM_Courses!E$3:M$52,9,TRUE)-1),AH14))</f>
        <v>0</v>
      </c>
      <c r="AH14" s="75" t="str">
        <f>IF($E14="1000m ",IF($D14="MiM ",VLOOKUP($H14,MiM_Courses!E$3:M$52,9,FALSE),""),"FAUX")</f>
        <v>FAUX</v>
      </c>
      <c r="AI14" s="75" t="b">
        <f>IF($E14="2000m ",IF($D14="MiM ",_xlfn.IFERROR(AJ14,VLOOKUP($I14,MiM_Courses!F$3:M$52,8,TRUE)-1),AJ14))</f>
        <v>0</v>
      </c>
      <c r="AJ14" s="75" t="str">
        <f>IF($E14="2000m ",IF($D14="MiM ",VLOOKUP($I14,MiM_Courses!F$3:M$52,8,FALSE),""),"FAUX")</f>
        <v>FAUX</v>
      </c>
      <c r="AK14" s="4" t="b">
        <f>IF($E14="100mH ",IF($D14="MiM ",_xlfn.IFERROR(AL14,VLOOKUP($K14,MiM_Courses!H$3:M$52,6,"VRAI")-1),AL14))</f>
        <v>0</v>
      </c>
      <c r="AL14" s="75" t="str">
        <f>IF($E14="100mH ",IF($D14="MiM ",VLOOKUP(K14,MiM_Courses!H$3:M$51,6,FALSE),""),"FAUX")</f>
        <v>FAUX</v>
      </c>
      <c r="AM14" s="75" t="str">
        <f>IF($E14="200mH ",IF($D14="MiM ",_xlfn.IFERROR(AN14,VLOOKUP($L14,MiM_Courses!I$3:M$52,5,TRUE)-1),AN14),"FAUX")</f>
        <v>FAUX</v>
      </c>
      <c r="AN14" s="75" t="str">
        <f>IF($E14="200mH ",IF($D14="MiM ",VLOOKUP($L14,MiM_Courses!I$3:M$52,5,FALSE),""),"FAUX")</f>
        <v>FAUX</v>
      </c>
      <c r="AO14" s="75" t="str">
        <f>IF($E14="3000m Marche ",IF($D14="MiM ",_xlfn.IFERROR(AP14,VLOOKUP($M14,MiM_Courses!J$3:M$52,4,TRUE)-1),AP14),"FAUX")</f>
        <v>FAUX</v>
      </c>
      <c r="AP14" s="75" t="str">
        <f>IF($E14="3000m Marche ",IF($D14="MiM ",VLOOKUP($M14,MiM_Courses!J$3:M$52,4,FALSE),""),"FAUX")</f>
        <v>FAUX</v>
      </c>
      <c r="AR14" t="s">
        <v>70</v>
      </c>
      <c r="AT14" t="s">
        <v>157</v>
      </c>
    </row>
    <row r="15" spans="1:44" ht="15">
      <c r="A15" s="60"/>
      <c r="B15" s="46"/>
      <c r="C15" s="70"/>
      <c r="D15" s="67" t="s">
        <v>190</v>
      </c>
      <c r="E15" s="37"/>
      <c r="F15" s="171"/>
      <c r="G15" s="172"/>
      <c r="H15" s="167"/>
      <c r="I15" s="167"/>
      <c r="J15" s="176"/>
      <c r="K15" s="176"/>
      <c r="L15" s="176"/>
      <c r="M15" s="167">
        <v>17.254</v>
      </c>
      <c r="N15" s="61">
        <f t="shared" si="0"/>
        <v>0</v>
      </c>
      <c r="O15" s="95" t="b">
        <f>IF($D15="MiF ",IF($E15="80m ",_xlfn.IFERROR(P15,VLOOKUP(F15,MiF_Courses!$C$3:$M$52,11,TRUE)-1),P15))</f>
        <v>0</v>
      </c>
      <c r="P15" s="12" t="b">
        <f>IF($D15="MiF ",IF($E15="80m ",VLOOKUP($F15,MiF_Courses!$C$3:$M$52,11,FALSE),"faux"))</f>
        <v>0</v>
      </c>
      <c r="Q15" s="95" t="str">
        <f>IF($D15="MiF ",IF($E15="120m ",_xlfn.IFERROR(R15,VLOOKUP($G15,MiF_Courses!D$3:M$52,10,TRUE)-1),""),R15)</f>
        <v>FAUX</v>
      </c>
      <c r="R15" s="32" t="str">
        <f>IF($D15="MiF ",IF($E15="120m ",VLOOKUP($G15,MiF_Courses!$D$3:$M$52,10,FALSE),""),"FAUX")</f>
        <v>FAUX</v>
      </c>
      <c r="S15" s="4" t="b">
        <f>IF($E15="1000m ",IF($D15="MiF ",_xlfn.IFERROR(T15,VLOOKUP(ROUNDUP($H15,1),MiF_Courses!E$3:M$52,9,TRUE)-1),T15))</f>
        <v>0</v>
      </c>
      <c r="T15" s="4" t="b">
        <f>IF($E15="1000m ",IF($D15="MiF ",VLOOKUP($H15,MiF_Courses!E$3:M$52,9,FALSE),""))</f>
        <v>0</v>
      </c>
      <c r="U15" s="4" t="str">
        <f>IF($D15="MiF ",IF($E15="2000m ",_xlfn.IFERROR(V15,VLOOKUP($I15,MiF_Courses!F$3:M$52,8,TRUE)-1),""),V15)</f>
        <v>FAUX</v>
      </c>
      <c r="V15" s="4" t="str">
        <f>IF($D15="MiF ",IF($E15="2000m ",VLOOKUP($I15,MiF_Courses!F$3:M$52,8,FALSE),""),"FAUX")</f>
        <v>FAUX</v>
      </c>
      <c r="W15" s="4" t="b">
        <f>IF($E15="80mH ",IF($D15="MiF ",_xlfn.IFERROR(X15,VLOOKUP(ROUNDUP($J15,1),MiF_Courses!H$3:M$52,6,TRUE)-1),X15))</f>
        <v>0</v>
      </c>
      <c r="X15" s="4" t="b">
        <f>IF($E15="80mH ",IF($D15="MiF ",VLOOKUP($J15,MiF_Courses!H$3:M$52,6,FALSE),""))</f>
        <v>0</v>
      </c>
      <c r="Y15" s="3" t="b">
        <f>IF($E15="200mH ",IF($D15="MiF ",_xlfn.IFERROR(Z15,VLOOKUP($L15,MiF_Courses!I$3:M$52,5,TRUE)-1),Z15))</f>
        <v>0</v>
      </c>
      <c r="Z15" s="26" t="str">
        <f>IF($E15="200mH ",IF($D15="MiF ",VLOOKUP($L15,MiF_Courses!I$3:M$52,5,FALSE),""),"FAUX")</f>
        <v>FAUX</v>
      </c>
      <c r="AA15" s="4" t="b">
        <f>IF($E15="3000m Marche ",IF($D15="MiF ",_xlfn.IFERROR(AB15,VLOOKUP($M15,MiF_Courses!J$3:M$52,4,TRUE)-1),AB15))</f>
        <v>0</v>
      </c>
      <c r="AB15" s="4" t="b">
        <f>IF($E15="3000m Marche ",IF($D15="MiF ",VLOOKUP($M15,MiF_Courses!J$3:M$52,4,FALSE),""),FALSE)</f>
        <v>0</v>
      </c>
      <c r="AC15" s="4" t="b">
        <f>IF($E15="80m ",IF($D15="MiM ",_xlfn.IFERROR(AD15,VLOOKUP($F15,MiM_Courses!C$3:M$52,11,TRUE)-1),AD15))</f>
        <v>0</v>
      </c>
      <c r="AD15" s="4" t="b">
        <f>IF($E15="80m ",IF($D15="MiM ",VLOOKUP($F15,MiM_Courses!C$3:M$52,11,FALSE),""),FALSE)</f>
        <v>0</v>
      </c>
      <c r="AE15" s="4" t="b">
        <f>IF($E15="120m ",IF($D15="MiM ",_xlfn.IFERROR(AF15,VLOOKUP($G15,MiM_Courses!D$3:M$52,10,TRUE)-1),AF15))</f>
        <v>0</v>
      </c>
      <c r="AF15" s="4" t="b">
        <f>IF($E15="120m ",IF($D15="MiM ",VLOOKUP($G15,MiM_Courses!D$3:M$52,10,FALSE),""),FALSE)</f>
        <v>0</v>
      </c>
      <c r="AG15" s="4" t="b">
        <f>IF($E15="1000m ",IF($D15="MiM ",_xlfn.IFERROR(AH15,VLOOKUP($H15,MiM_Courses!E$3:M$52,9,TRUE)-1),AH15))</f>
        <v>0</v>
      </c>
      <c r="AH15" s="75" t="str">
        <f>IF($E15="1000m ",IF($D15="MiM ",VLOOKUP($H15,MiM_Courses!E$3:M$52,9,FALSE),""),"FAUX")</f>
        <v>FAUX</v>
      </c>
      <c r="AI15" s="75" t="b">
        <f>IF($E15="2000m ",IF($D15="MiM ",_xlfn.IFERROR(AJ15,VLOOKUP($I15,MiM_Courses!F$3:M$52,8,TRUE)-1),AJ15))</f>
        <v>0</v>
      </c>
      <c r="AJ15" s="75" t="str">
        <f>IF($E15="2000m ",IF($D15="MiM ",VLOOKUP($I15,MiM_Courses!F$3:M$52,8,FALSE),""),"FAUX")</f>
        <v>FAUX</v>
      </c>
      <c r="AK15" s="4" t="b">
        <f>IF($E15="100mH ",IF($D15="MiM ",_xlfn.IFERROR(AL15,VLOOKUP($K15,MiM_Courses!H$3:M$52,6,"VRAI")-1),AL15))</f>
        <v>0</v>
      </c>
      <c r="AL15" s="75" t="str">
        <f>IF($E15="100mH ",IF($D15="MiM ",VLOOKUP(K15,MiM_Courses!H$3:M$51,6,FALSE),""),"FAUX")</f>
        <v>FAUX</v>
      </c>
      <c r="AM15" s="75" t="str">
        <f>IF($E15="200mH ",IF($D15="MiM ",_xlfn.IFERROR(AN15,VLOOKUP($L15,MiM_Courses!I$3:M$52,5,TRUE)-1),AN15),"FAUX")</f>
        <v>FAUX</v>
      </c>
      <c r="AN15" s="75" t="str">
        <f>IF($E15="200mH ",IF($D15="MiM ",VLOOKUP($L15,MiM_Courses!I$3:M$52,5,FALSE),""),"FAUX")</f>
        <v>FAUX</v>
      </c>
      <c r="AO15" s="75" t="str">
        <f>IF($E15="3000m Marche ",IF($D15="MiM ",_xlfn.IFERROR(AP15,VLOOKUP($M15,MiM_Courses!J$3:M$52,4,TRUE)-1),AP15),"FAUX")</f>
        <v>FAUX</v>
      </c>
      <c r="AP15" s="75" t="str">
        <f>IF($E15="3000m Marche ",IF($D15="MiM ",VLOOKUP($M15,MiM_Courses!J$3:M$52,4,FALSE),""),"FAUX")</f>
        <v>FAUX</v>
      </c>
      <c r="AR15" t="s">
        <v>156</v>
      </c>
    </row>
    <row r="16" spans="1:42" ht="15">
      <c r="A16" s="60"/>
      <c r="B16" s="46"/>
      <c r="C16" s="70"/>
      <c r="D16" s="67" t="s">
        <v>190</v>
      </c>
      <c r="E16" s="37"/>
      <c r="F16" s="171"/>
      <c r="G16" s="172"/>
      <c r="H16" s="167"/>
      <c r="I16" s="167"/>
      <c r="J16" s="176"/>
      <c r="K16" s="176"/>
      <c r="L16" s="176"/>
      <c r="M16" s="167"/>
      <c r="N16" s="61">
        <f t="shared" si="0"/>
        <v>0</v>
      </c>
      <c r="O16" s="95" t="b">
        <f>IF($D16="MiF ",IF($E16="80m ",_xlfn.IFERROR(P16,VLOOKUP(F16,MiF_Courses!$C$3:$M$52,11,TRUE)-1),P16))</f>
        <v>0</v>
      </c>
      <c r="P16" s="12" t="b">
        <f>IF($D16="MiF ",IF($E16="80m ",VLOOKUP($F16,MiF_Courses!$C$3:$M$52,11,FALSE),"faux"))</f>
        <v>0</v>
      </c>
      <c r="Q16" s="95" t="str">
        <f>IF($D16="MiF ",IF($E16="120m ",_xlfn.IFERROR(R16,VLOOKUP($G16,MiF_Courses!D$3:M$52,10,TRUE)-1),""),R16)</f>
        <v>FAUX</v>
      </c>
      <c r="R16" s="32" t="str">
        <f>IF($D16="MiF ",IF($E16="120m ",VLOOKUP($G16,MiF_Courses!$D$3:$M$52,10,FALSE),""),"FAUX")</f>
        <v>FAUX</v>
      </c>
      <c r="S16" s="4" t="b">
        <f>IF($E16="1000m ",IF($D16="MiF ",_xlfn.IFERROR(T16,VLOOKUP(ROUNDUP($H16,1),MiF_Courses!E$3:M$52,9,TRUE)-1),T16))</f>
        <v>0</v>
      </c>
      <c r="T16" s="4" t="b">
        <f>IF($E16="1000m ",IF($D16="MiF ",VLOOKUP($H16,MiF_Courses!E$3:M$52,9,FALSE),""))</f>
        <v>0</v>
      </c>
      <c r="U16" s="4" t="str">
        <f>IF($D16="MiF ",IF($E16="2000m ",_xlfn.IFERROR(V16,VLOOKUP($I16,MiF_Courses!F$3:M$52,8,TRUE)-1),""),V16)</f>
        <v>FAUX</v>
      </c>
      <c r="V16" s="4" t="str">
        <f>IF($D16="MiF ",IF($E16="2000m ",VLOOKUP($I16,MiF_Courses!F$3:M$52,8,FALSE),""),"FAUX")</f>
        <v>FAUX</v>
      </c>
      <c r="W16" s="4" t="b">
        <f>IF($E16="80mH ",IF($D16="MiF ",_xlfn.IFERROR(X16,VLOOKUP(ROUNDUP($J16,1),MiF_Courses!H$3:M$52,6,TRUE)-1),X16))</f>
        <v>0</v>
      </c>
      <c r="X16" s="4" t="b">
        <f>IF($E16="80mH ",IF($D16="MiF ",VLOOKUP($J16,MiF_Courses!H$3:M$52,6,FALSE),""))</f>
        <v>0</v>
      </c>
      <c r="Y16" s="3" t="b">
        <f>IF($E16="200mH ",IF($D16="MiF ",_xlfn.IFERROR(Z16,VLOOKUP($L16,MiF_Courses!I$3:M$52,5,TRUE)-1),Z16))</f>
        <v>0</v>
      </c>
      <c r="Z16" s="26" t="str">
        <f>IF($E16="200mH ",IF($D16="MiF ",VLOOKUP($L16,MiF_Courses!I$3:M$52,5,FALSE),""),"FAUX")</f>
        <v>FAUX</v>
      </c>
      <c r="AA16" s="4" t="b">
        <f>IF($E16="3000m Marche ",IF($D16="MiF ",_xlfn.IFERROR(AB16,VLOOKUP($M16,MiF_Courses!J$3:M$52,4,TRUE)-1),AB16))</f>
        <v>0</v>
      </c>
      <c r="AB16" s="4" t="b">
        <f>IF($E16="3000m Marche ",IF($D16="MiF ",VLOOKUP($M16,MiF_Courses!J$3:M$52,4,FALSE),""),FALSE)</f>
        <v>0</v>
      </c>
      <c r="AC16" s="4" t="b">
        <f>IF($E16="80m ",IF($D16="MiM ",_xlfn.IFERROR(AD16,VLOOKUP($F16,MiM_Courses!C$3:M$52,11,TRUE)-1),AD16))</f>
        <v>0</v>
      </c>
      <c r="AD16" s="4" t="b">
        <f>IF($E16="80m ",IF($D16="MiM ",VLOOKUP($F16,MiM_Courses!C$3:M$52,11,FALSE),""),FALSE)</f>
        <v>0</v>
      </c>
      <c r="AE16" s="4" t="b">
        <f>IF($E16="120m ",IF($D16="MiM ",_xlfn.IFERROR(AF16,VLOOKUP($G16,MiM_Courses!D$3:M$52,10,TRUE)-1),AF16))</f>
        <v>0</v>
      </c>
      <c r="AF16" s="4" t="b">
        <f>IF($E16="120m ",IF($D16="MiM ",VLOOKUP($G16,MiM_Courses!D$3:M$52,10,FALSE),""),FALSE)</f>
        <v>0</v>
      </c>
      <c r="AG16" s="4" t="b">
        <f>IF($E16="1000m ",IF($D16="MiM ",_xlfn.IFERROR(AH16,VLOOKUP($H16,MiM_Courses!E$3:M$52,9,TRUE)-1),AH16))</f>
        <v>0</v>
      </c>
      <c r="AH16" s="75" t="str">
        <f>IF($E16="1000m ",IF($D16="MiM ",VLOOKUP($H16,MiM_Courses!E$3:M$52,9,FALSE),""),"FAUX")</f>
        <v>FAUX</v>
      </c>
      <c r="AI16" s="75" t="b">
        <f>IF($E16="2000m ",IF($D16="MiM ",_xlfn.IFERROR(AJ16,VLOOKUP($I16,MiM_Courses!F$3:M$52,8,TRUE)-1),AJ16))</f>
        <v>0</v>
      </c>
      <c r="AJ16" s="75" t="str">
        <f>IF($E16="2000m ",IF($D16="MiM ",VLOOKUP($I16,MiM_Courses!F$3:M$52,8,FALSE),""),"FAUX")</f>
        <v>FAUX</v>
      </c>
      <c r="AK16" s="4" t="b">
        <f>IF($E16="100mH ",IF($D16="MiM ",_xlfn.IFERROR(AL16,VLOOKUP($K16,MiM_Courses!H$3:M$52,6,"VRAI")-1),AL16))</f>
        <v>0</v>
      </c>
      <c r="AL16" s="75" t="str">
        <f>IF($E16="100mH ",IF($D16="MiM ",VLOOKUP(K16,MiM_Courses!H$3:M$51,6,FALSE),""),"FAUX")</f>
        <v>FAUX</v>
      </c>
      <c r="AM16" s="75" t="str">
        <f>IF($E16="200mH ",IF($D16="MiM ",_xlfn.IFERROR(AN16,VLOOKUP($L16,MiM_Courses!I$3:M$52,5,TRUE)-1),AN16),"FAUX")</f>
        <v>FAUX</v>
      </c>
      <c r="AN16" s="75" t="str">
        <f>IF($E16="200mH ",IF($D16="MiM ",VLOOKUP($L16,MiM_Courses!I$3:M$52,5,FALSE),""),"FAUX")</f>
        <v>FAUX</v>
      </c>
      <c r="AO16" s="75" t="str">
        <f>IF($E16="3000m Marche ",IF($D16="MiM ",_xlfn.IFERROR(AP16,VLOOKUP($M16,MiM_Courses!J$3:M$52,4,TRUE)-1),AP16),"FAUX")</f>
        <v>FAUX</v>
      </c>
      <c r="AP16" s="75" t="str">
        <f>IF($E16="3000m Marche ",IF($D16="MiM ",VLOOKUP($M16,MiM_Courses!J$3:M$52,4,FALSE),""),"FAUX")</f>
        <v>FAUX</v>
      </c>
    </row>
    <row r="17" spans="1:42" ht="15">
      <c r="A17" s="60"/>
      <c r="B17" s="46"/>
      <c r="C17" s="70"/>
      <c r="D17" s="67" t="s">
        <v>190</v>
      </c>
      <c r="E17" s="37"/>
      <c r="F17" s="171"/>
      <c r="G17" s="172"/>
      <c r="H17" s="167"/>
      <c r="I17" s="167"/>
      <c r="J17" s="176"/>
      <c r="K17" s="176"/>
      <c r="L17" s="176"/>
      <c r="M17" s="167"/>
      <c r="N17" s="61">
        <f t="shared" si="0"/>
        <v>0</v>
      </c>
      <c r="O17" s="95" t="b">
        <f>IF($D17="MiF ",IF($E17="80m ",_xlfn.IFERROR(P17,VLOOKUP(F17,MiF_Courses!$C$3:$M$52,11,TRUE)-1),P17))</f>
        <v>0</v>
      </c>
      <c r="P17" s="12" t="b">
        <f>IF($D17="MiF ",IF($E17="80m ",VLOOKUP($F17,MiF_Courses!$C$3:$M$52,11,FALSE),"faux"))</f>
        <v>0</v>
      </c>
      <c r="Q17" s="95" t="str">
        <f>IF($D17="MiF ",IF($E17="120m ",_xlfn.IFERROR(R17,VLOOKUP($G17,MiF_Courses!D$3:M$52,10,TRUE)-1),""),R17)</f>
        <v>FAUX</v>
      </c>
      <c r="R17" s="32" t="str">
        <f>IF($D17="MiF ",IF($E17="120m ",VLOOKUP($G17,MiF_Courses!$D$3:$M$52,10,FALSE),""),"FAUX")</f>
        <v>FAUX</v>
      </c>
      <c r="S17" s="4" t="b">
        <f>IF($E17="1000m ",IF($D17="MiF ",_xlfn.IFERROR(T17,VLOOKUP(ROUNDUP($H17,1),MiF_Courses!E$3:M$52,9,TRUE)-1),T17))</f>
        <v>0</v>
      </c>
      <c r="T17" s="4" t="b">
        <f>IF($E17="1000m ",IF($D17="MiF ",VLOOKUP($H17,MiF_Courses!E$3:M$52,9,FALSE),""))</f>
        <v>0</v>
      </c>
      <c r="U17" s="4" t="str">
        <f>IF($D17="MiF ",IF($E17="2000m ",_xlfn.IFERROR(V17,VLOOKUP($I17,MiF_Courses!F$3:M$52,8,TRUE)-1),""),V17)</f>
        <v>FAUX</v>
      </c>
      <c r="V17" s="4" t="str">
        <f>IF($D17="MiF ",IF($E17="2000m ",VLOOKUP($I17,MiF_Courses!F$3:M$52,8,FALSE),""),"FAUX")</f>
        <v>FAUX</v>
      </c>
      <c r="W17" s="4" t="b">
        <f>IF($E17="80mH ",IF($D17="MiF ",_xlfn.IFERROR(X17,VLOOKUP(ROUNDUP($J17,1),MiF_Courses!H$3:M$52,6,TRUE)-1),X17))</f>
        <v>0</v>
      </c>
      <c r="X17" s="4" t="b">
        <f>IF($E17="80mH ",IF($D17="MiF ",VLOOKUP($J17,MiF_Courses!H$3:M$52,6,FALSE),""))</f>
        <v>0</v>
      </c>
      <c r="Y17" s="3" t="b">
        <f>IF($E17="200mH ",IF($D17="MiF ",_xlfn.IFERROR(Z17,VLOOKUP($L17,MiF_Courses!I$3:M$52,5,TRUE)-1),Z17))</f>
        <v>0</v>
      </c>
      <c r="Z17" s="26" t="str">
        <f>IF($E17="200mH ",IF($D17="MiF ",VLOOKUP($L17,MiF_Courses!I$3:M$52,5,FALSE),""),"FAUX")</f>
        <v>FAUX</v>
      </c>
      <c r="AA17" s="4" t="b">
        <f>IF($E17="3000m Marche ",IF($D17="MiF ",_xlfn.IFERROR(AB17,VLOOKUP($M17,MiF_Courses!J$3:M$52,4,TRUE)-1),AB17))</f>
        <v>0</v>
      </c>
      <c r="AB17" s="4" t="b">
        <f>IF($E17="3000m Marche ",IF($D17="MiF ",VLOOKUP($M17,MiF_Courses!J$3:M$52,4,FALSE),""),FALSE)</f>
        <v>0</v>
      </c>
      <c r="AC17" s="4" t="b">
        <f>IF($E17="80m ",IF($D17="MiM ",_xlfn.IFERROR(AD17,VLOOKUP($F17,MiM_Courses!C$3:M$52,11,TRUE)-1),AD17))</f>
        <v>0</v>
      </c>
      <c r="AD17" s="4" t="b">
        <f>IF($E17="80m ",IF($D17="MiM ",VLOOKUP($F17,MiM_Courses!C$3:M$52,11,FALSE),""),FALSE)</f>
        <v>0</v>
      </c>
      <c r="AE17" s="4" t="b">
        <f>IF($E17="120m ",IF($D17="MiM ",_xlfn.IFERROR(AF17,VLOOKUP($G17,MiM_Courses!D$3:M$52,10,TRUE)-1),AF17))</f>
        <v>0</v>
      </c>
      <c r="AF17" s="4" t="b">
        <f>IF($E17="120m ",IF($D17="MiM ",VLOOKUP($G17,MiM_Courses!D$3:M$52,10,FALSE),""),FALSE)</f>
        <v>0</v>
      </c>
      <c r="AG17" s="4" t="b">
        <f>IF($E17="1000m ",IF($D17="MiM ",_xlfn.IFERROR(AH17,VLOOKUP($H17,MiM_Courses!E$3:M$52,9,TRUE)-1),AH17))</f>
        <v>0</v>
      </c>
      <c r="AH17" s="75" t="str">
        <f>IF($E17="1000m ",IF($D17="MiM ",VLOOKUP($H17,MiM_Courses!E$3:M$52,9,FALSE),""),"FAUX")</f>
        <v>FAUX</v>
      </c>
      <c r="AI17" s="75" t="b">
        <f>IF($E17="2000m ",IF($D17="MiM ",_xlfn.IFERROR(AJ17,VLOOKUP($I17,MiM_Courses!F$3:M$52,8,TRUE)-1),AJ17))</f>
        <v>0</v>
      </c>
      <c r="AJ17" s="75" t="str">
        <f>IF($E17="2000m ",IF($D17="MiM ",VLOOKUP($I17,MiM_Courses!F$3:M$52,8,FALSE),""),"FAUX")</f>
        <v>FAUX</v>
      </c>
      <c r="AK17" s="4" t="b">
        <f>IF($E17="100mH ",IF($D17="MiM ",_xlfn.IFERROR(AL17,VLOOKUP($K17,MiM_Courses!H$3:M$52,6,"VRAI")-1),AL17))</f>
        <v>0</v>
      </c>
      <c r="AL17" s="75" t="str">
        <f>IF($E17="100mH ",IF($D17="MiM ",VLOOKUP(K17,MiM_Courses!H$3:M$51,6,FALSE),""),"FAUX")</f>
        <v>FAUX</v>
      </c>
      <c r="AM17" s="75" t="str">
        <f>IF($E17="200mH ",IF($D17="MiM ",_xlfn.IFERROR(AN17,VLOOKUP($L17,MiM_Courses!I$3:M$52,5,TRUE)-1),AN17),"FAUX")</f>
        <v>FAUX</v>
      </c>
      <c r="AN17" s="75" t="str">
        <f>IF($E17="200mH ",IF($D17="MiM ",VLOOKUP($L17,MiM_Courses!I$3:M$52,5,FALSE),""),"FAUX")</f>
        <v>FAUX</v>
      </c>
      <c r="AO17" s="75" t="str">
        <f>IF($E17="3000m Marche ",IF($D17="MiM ",_xlfn.IFERROR(AP17,VLOOKUP($M17,MiM_Courses!J$3:M$52,4,TRUE)-1),AP17),"FAUX")</f>
        <v>FAUX</v>
      </c>
      <c r="AP17" s="75" t="str">
        <f>IF($E17="3000m Marche ",IF($D17="MiM ",VLOOKUP($M17,MiM_Courses!J$3:M$52,4,FALSE),""),"FAUX")</f>
        <v>FAUX</v>
      </c>
    </row>
    <row r="18" spans="1:42" ht="15">
      <c r="A18" s="60"/>
      <c r="B18" s="46"/>
      <c r="C18" s="70"/>
      <c r="D18" s="67" t="s">
        <v>190</v>
      </c>
      <c r="E18" s="37"/>
      <c r="F18" s="171"/>
      <c r="G18" s="172"/>
      <c r="H18" s="167"/>
      <c r="I18" s="167"/>
      <c r="J18" s="176"/>
      <c r="K18" s="176"/>
      <c r="L18" s="176"/>
      <c r="M18" s="167"/>
      <c r="N18" s="61">
        <f t="shared" si="0"/>
        <v>0</v>
      </c>
      <c r="O18" s="95" t="b">
        <f>IF($D18="MiF ",IF($E18="80m ",_xlfn.IFERROR(P18,VLOOKUP(F18,MiF_Courses!$C$3:$M$52,11,TRUE)-1),P18))</f>
        <v>0</v>
      </c>
      <c r="P18" s="12" t="b">
        <f>IF($D18="MiF ",IF($E18="80m ",VLOOKUP($F18,MiF_Courses!$C$3:$M$52,11,FALSE),"faux"))</f>
        <v>0</v>
      </c>
      <c r="Q18" s="95" t="str">
        <f>IF($D18="MiF ",IF($E18="120m ",_xlfn.IFERROR(R18,VLOOKUP($G18,MiF_Courses!D$3:M$52,10,TRUE)-1),""),R18)</f>
        <v>FAUX</v>
      </c>
      <c r="R18" s="32" t="str">
        <f>IF($D18="MiF ",IF($E18="120m ",VLOOKUP($G18,MiF_Courses!$D$3:$M$52,10,FALSE),""),"FAUX")</f>
        <v>FAUX</v>
      </c>
      <c r="S18" s="4" t="b">
        <f>IF($E18="1000m ",IF($D18="MiF ",_xlfn.IFERROR(T18,VLOOKUP(ROUNDUP($H18,1),MiF_Courses!E$3:M$52,9,TRUE)-1),T18))</f>
        <v>0</v>
      </c>
      <c r="T18" s="4" t="b">
        <f>IF($E18="1000m ",IF($D18="MiF ",VLOOKUP($H18,MiF_Courses!E$3:M$52,9,FALSE),""))</f>
        <v>0</v>
      </c>
      <c r="U18" s="4" t="str">
        <f>IF($D18="MiF ",IF($E18="2000m ",_xlfn.IFERROR(V18,VLOOKUP($I18,MiF_Courses!F$3:M$52,8,TRUE)-1),""),V18)</f>
        <v>FAUX</v>
      </c>
      <c r="V18" s="4" t="str">
        <f>IF($D18="MiF ",IF($E18="2000m ",VLOOKUP($I18,MiF_Courses!F$3:M$52,8,FALSE),""),"FAUX")</f>
        <v>FAUX</v>
      </c>
      <c r="W18" s="4" t="b">
        <f>IF($E18="80mH ",IF($D18="MiF ",_xlfn.IFERROR(X18,VLOOKUP(ROUNDUP($J18,1),MiF_Courses!H$3:M$52,6,TRUE)-1),X18))</f>
        <v>0</v>
      </c>
      <c r="X18" s="4" t="b">
        <f>IF($E18="80mH ",IF($D18="MiF ",VLOOKUP($J18,MiF_Courses!H$3:M$52,6,FALSE),""))</f>
        <v>0</v>
      </c>
      <c r="Y18" s="3" t="b">
        <f>IF($E18="200mH ",IF($D18="MiF ",_xlfn.IFERROR(Z18,VLOOKUP($L18,MiF_Courses!I$3:M$52,5,TRUE)-1),Z18))</f>
        <v>0</v>
      </c>
      <c r="Z18" s="26" t="str">
        <f>IF($E18="200mH ",IF($D18="MiF ",VLOOKUP($L18,MiF_Courses!I$3:M$52,5,FALSE),""),"FAUX")</f>
        <v>FAUX</v>
      </c>
      <c r="AA18" s="4" t="b">
        <f>IF($E18="3000m Marche ",IF($D18="MiF ",_xlfn.IFERROR(AB18,VLOOKUP($M18,MiF_Courses!J$3:M$52,4,TRUE)-1),AB18))</f>
        <v>0</v>
      </c>
      <c r="AB18" s="4" t="b">
        <f>IF($E18="3000m Marche ",IF($D18="MiF ",VLOOKUP($M18,MiF_Courses!J$3:M$52,4,FALSE),""),FALSE)</f>
        <v>0</v>
      </c>
      <c r="AC18" s="4" t="b">
        <f>IF($E18="80m ",IF($D18="MiM ",_xlfn.IFERROR(AD18,VLOOKUP($F18,MiM_Courses!C$3:M$52,11,TRUE)-1),AD18))</f>
        <v>0</v>
      </c>
      <c r="AD18" s="4" t="b">
        <f>IF($E18="80m ",IF($D18="MiM ",VLOOKUP($F18,MiM_Courses!C$3:M$52,11,FALSE),""),FALSE)</f>
        <v>0</v>
      </c>
      <c r="AE18" s="4" t="b">
        <f>IF($E18="120m ",IF($D18="MiM ",_xlfn.IFERROR(AF18,VLOOKUP($G18,MiM_Courses!D$3:M$52,10,TRUE)-1),AF18))</f>
        <v>0</v>
      </c>
      <c r="AF18" s="4" t="b">
        <f>IF($E18="120m ",IF($D18="MiM ",VLOOKUP($G18,MiM_Courses!D$3:M$52,10,FALSE),""),FALSE)</f>
        <v>0</v>
      </c>
      <c r="AG18" s="4" t="b">
        <f>IF($E18="1000m ",IF($D18="MiM ",_xlfn.IFERROR(AH18,VLOOKUP($H18,MiM_Courses!E$3:M$52,9,TRUE)-1),AH18))</f>
        <v>0</v>
      </c>
      <c r="AH18" s="75" t="str">
        <f>IF($E18="1000m ",IF($D18="MiM ",VLOOKUP($H18,MiM_Courses!E$3:M$52,9,FALSE),""),"FAUX")</f>
        <v>FAUX</v>
      </c>
      <c r="AI18" s="75" t="b">
        <f>IF($E18="2000m ",IF($D18="MiM ",_xlfn.IFERROR(AJ18,VLOOKUP($I18,MiM_Courses!F$3:M$52,8,TRUE)-1),AJ18))</f>
        <v>0</v>
      </c>
      <c r="AJ18" s="75" t="str">
        <f>IF($E18="2000m ",IF($D18="MiM ",VLOOKUP($I18,MiM_Courses!F$3:M$52,8,FALSE),""),"FAUX")</f>
        <v>FAUX</v>
      </c>
      <c r="AK18" s="4" t="b">
        <f>IF($E18="100mH ",IF($D18="MiM ",_xlfn.IFERROR(AL18,VLOOKUP($K18,MiM_Courses!H$3:M$52,6,"VRAI")-1),AL18))</f>
        <v>0</v>
      </c>
      <c r="AL18" s="75" t="str">
        <f>IF($E18="100mH ",IF($D18="MiM ",VLOOKUP(K18,MiM_Courses!H$3:M$51,6,FALSE),""),"FAUX")</f>
        <v>FAUX</v>
      </c>
      <c r="AM18" s="75" t="str">
        <f>IF($E18="200mH ",IF($D18="MiM ",_xlfn.IFERROR(AN18,VLOOKUP($L18,MiM_Courses!I$3:M$52,5,TRUE)-1),AN18),"FAUX")</f>
        <v>FAUX</v>
      </c>
      <c r="AN18" s="75" t="str">
        <f>IF($E18="200mH ",IF($D18="MiM ",VLOOKUP($L18,MiM_Courses!I$3:M$52,5,FALSE),""),"FAUX")</f>
        <v>FAUX</v>
      </c>
      <c r="AO18" s="75" t="str">
        <f>IF($E18="3000m Marche ",IF($D18="MiM ",_xlfn.IFERROR(AP18,VLOOKUP($M18,MiM_Courses!J$3:M$52,4,TRUE)-1),AP18),"FAUX")</f>
        <v>FAUX</v>
      </c>
      <c r="AP18" s="75" t="str">
        <f>IF($E18="3000m Marche ",IF($D18="MiM ",VLOOKUP($M18,MiM_Courses!J$3:M$52,4,FALSE),""),"FAUX")</f>
        <v>FAUX</v>
      </c>
    </row>
    <row r="19" spans="1:42" ht="15">
      <c r="A19" s="60"/>
      <c r="B19" s="46"/>
      <c r="C19" s="70"/>
      <c r="D19" s="67" t="s">
        <v>190</v>
      </c>
      <c r="E19" s="37"/>
      <c r="F19" s="171"/>
      <c r="G19" s="172"/>
      <c r="H19" s="167"/>
      <c r="I19" s="167"/>
      <c r="J19" s="176"/>
      <c r="K19" s="176"/>
      <c r="L19" s="176"/>
      <c r="M19" s="167"/>
      <c r="N19" s="61">
        <f t="shared" si="0"/>
        <v>0</v>
      </c>
      <c r="O19" s="95" t="b">
        <f>IF($D19="MiF ",IF($E19="80m ",_xlfn.IFERROR(P19,VLOOKUP(F19,MiF_Courses!$C$3:$M$52,11,TRUE)-1),P19))</f>
        <v>0</v>
      </c>
      <c r="P19" s="12" t="str">
        <f>IF($D19="MiF ",IF($E19="80m ",VLOOKUP($F19,MiF_Courses!$C$3:$M$52,11,FALSE),"faux"),"")</f>
        <v/>
      </c>
      <c r="Q19" s="95" t="str">
        <f>IF($D19="MiF ",IF($E19="120m ",_xlfn.IFERROR(R19,VLOOKUP($G19,MiF_Courses!D$3:M$52,10,TRUE)-1),""),R19)</f>
        <v>FAUX</v>
      </c>
      <c r="R19" s="32" t="str">
        <f>IF($D19="MiF ",IF($E19="120m ",VLOOKUP($G19,MiF_Courses!$D$3:$M$52,10,FALSE),""),"FAUX")</f>
        <v>FAUX</v>
      </c>
      <c r="S19" s="4" t="b">
        <f>IF($E19="1000m ",IF($D19="MiF ",_xlfn.IFERROR(T19,VLOOKUP(ROUNDUP($H19,1),MiF_Courses!E$3:M$52,9,TRUE)-1),T19))</f>
        <v>0</v>
      </c>
      <c r="T19" s="4" t="b">
        <f>IF($E19="1000m ",IF($D19="MiF ",VLOOKUP($H19,MiF_Courses!E$3:M$52,9,FALSE),""))</f>
        <v>0</v>
      </c>
      <c r="U19" s="4" t="str">
        <f>IF($D19="MiF ",IF($E19="2000m ",_xlfn.IFERROR(V19,VLOOKUP($I19,MiF_Courses!F$3:M$52,8,TRUE)-1),""),V19)</f>
        <v>FAUX</v>
      </c>
      <c r="V19" s="4" t="str">
        <f>IF($D19="MiF ",IF($E19="2000m ",VLOOKUP($I19,MiF_Courses!F$3:M$52,8,FALSE),""),"FAUX")</f>
        <v>FAUX</v>
      </c>
      <c r="W19" s="4" t="b">
        <f>IF($E19="80mH ",IF($D19="MiF ",_xlfn.IFERROR(X19,VLOOKUP(ROUNDUP($J19,1),MiF_Courses!H$3:M$52,6,TRUE)-1),X19))</f>
        <v>0</v>
      </c>
      <c r="X19" s="4" t="b">
        <f>IF($E19="80mH ",IF($D19="MiF ",VLOOKUP($J19,MiF_Courses!H$3:M$52,6,FALSE),""))</f>
        <v>0</v>
      </c>
      <c r="Y19" s="3" t="b">
        <f>IF($E19="200mH ",IF($D19="MiF ",_xlfn.IFERROR(Z19,VLOOKUP($L19,MiF_Courses!I$3:M$52,5,TRUE)-1),Z19))</f>
        <v>0</v>
      </c>
      <c r="Z19" s="26" t="str">
        <f>IF($E19="200mH ",IF($D19="MiF ",VLOOKUP($L19,MiF_Courses!I$3:M$52,5,FALSE),""),"FAUX")</f>
        <v>FAUX</v>
      </c>
      <c r="AA19" s="4" t="b">
        <f>IF($E19="3000m Marche ",IF($D19="MiF ",_xlfn.IFERROR(AB19,VLOOKUP($M19,MiF_Courses!J$3:M$52,4,TRUE)-1),AB19))</f>
        <v>0</v>
      </c>
      <c r="AB19" s="4" t="b">
        <f>IF($E19="3000m Marche ",IF($D19="MiF ",VLOOKUP($M19,MiF_Courses!J$3:M$52,4,FALSE),""),FALSE)</f>
        <v>0</v>
      </c>
      <c r="AC19" s="4" t="b">
        <f>IF($E19="80m ",IF($D19="MiM ",_xlfn.IFERROR(AD19,VLOOKUP($F19,MiM_Courses!C$3:M$52,11,TRUE)-1),AD19))</f>
        <v>0</v>
      </c>
      <c r="AD19" s="4" t="b">
        <f>IF($E19="80m ",IF($D19="MiM ",VLOOKUP($F19,MiM_Courses!C$3:M$52,11,FALSE),""),FALSE)</f>
        <v>0</v>
      </c>
      <c r="AE19" s="4" t="b">
        <f>IF($E19="120m ",IF($D19="MiM ",_xlfn.IFERROR(AF19,VLOOKUP($G19,MiM_Courses!D$3:M$52,10,TRUE)-1),AF19))</f>
        <v>0</v>
      </c>
      <c r="AF19" s="4" t="b">
        <f>IF($E19="120m ",IF($D19="MiM ",VLOOKUP($G19,MiM_Courses!D$3:M$52,10,FALSE),""),FALSE)</f>
        <v>0</v>
      </c>
      <c r="AG19" s="4" t="b">
        <f>IF($E19="1000m ",IF($D19="MiM ",_xlfn.IFERROR(AH19,VLOOKUP($H19,MiM_Courses!E$3:M$52,9,TRUE)-1),AH19))</f>
        <v>0</v>
      </c>
      <c r="AH19" s="75" t="str">
        <f>IF($E19="1000m ",IF($D19="MiM ",VLOOKUP($H19,MiM_Courses!E$3:M$52,9,FALSE),""),"FAUX")</f>
        <v>FAUX</v>
      </c>
      <c r="AI19" s="75" t="b">
        <f>IF($E19="2000m ",IF($D19="MiM ",_xlfn.IFERROR(AJ19,VLOOKUP($I19,MiM_Courses!F$3:M$52,8,TRUE)-1),AJ19))</f>
        <v>0</v>
      </c>
      <c r="AJ19" s="75" t="str">
        <f>IF($E19="2000m ",IF($D19="MiM ",VLOOKUP($I19,MiM_Courses!F$3:M$52,8,FALSE),""),"FAUX")</f>
        <v>FAUX</v>
      </c>
      <c r="AK19" s="4" t="b">
        <f>IF($E19="100mH ",IF($D19="MiM ",_xlfn.IFERROR(AL19,VLOOKUP($K19,MiM_Courses!H$3:M$52,6,"VRAI")-1),AL19))</f>
        <v>0</v>
      </c>
      <c r="AL19" s="75" t="str">
        <f>IF($E19="100mH ",IF($D19="MiM ",VLOOKUP(K19,MiM_Courses!H$3:M$51,6,FALSE),""),"FAUX")</f>
        <v>FAUX</v>
      </c>
      <c r="AM19" s="75" t="str">
        <f>IF($E19="200mH ",IF($D19="MiM ",_xlfn.IFERROR(AN19,VLOOKUP($L19,MiM_Courses!I$3:M$52,5,TRUE)-1),AN19),"FAUX")</f>
        <v>FAUX</v>
      </c>
      <c r="AN19" s="75" t="str">
        <f>IF($E19="200mH ",IF($D19="MiM ",VLOOKUP($L19,MiM_Courses!I$3:M$52,5,FALSE),""),"FAUX")</f>
        <v>FAUX</v>
      </c>
      <c r="AO19" s="75" t="str">
        <f>IF($E19="3000m Marche ",IF($D19="MiM ",_xlfn.IFERROR(AP19,VLOOKUP($M19,MiM_Courses!J$3:M$52,4,TRUE)-1),AP19),"FAUX")</f>
        <v>FAUX</v>
      </c>
      <c r="AP19" s="75" t="str">
        <f>IF($E19="3000m Marche ",IF($D19="MiM ",VLOOKUP($M19,MiM_Courses!J$3:M$52,4,FALSE),""),"FAUX")</f>
        <v>FAUX</v>
      </c>
    </row>
    <row r="20" spans="1:42" ht="15">
      <c r="A20" s="60"/>
      <c r="B20" s="46"/>
      <c r="C20" s="70"/>
      <c r="D20" s="67" t="s">
        <v>190</v>
      </c>
      <c r="E20" s="37"/>
      <c r="F20" s="171"/>
      <c r="G20" s="172"/>
      <c r="H20" s="167"/>
      <c r="I20" s="167"/>
      <c r="J20" s="176"/>
      <c r="K20" s="176"/>
      <c r="L20" s="176"/>
      <c r="M20" s="167"/>
      <c r="N20" s="61">
        <f t="shared" si="0"/>
        <v>0</v>
      </c>
      <c r="O20" s="95" t="b">
        <f>IF($D20="MiF ",IF($E20="80m ",_xlfn.IFERROR(P20,VLOOKUP(F20,MiF_Courses!$C$3:$M$52,11,TRUE)-1),P20))</f>
        <v>0</v>
      </c>
      <c r="P20" s="12" t="b">
        <f>IF($D20="MiF ",IF($E20="80m ",VLOOKUP($F20,MiF_Courses!$C$3:$M$52,11,FALSE),"faux"))</f>
        <v>0</v>
      </c>
      <c r="Q20" s="95" t="str">
        <f>IF($D20="MiF ",IF($E20="120m ",_xlfn.IFERROR(R20,VLOOKUP($G20,MiF_Courses!D$3:M$52,10,TRUE)-1),""),R20)</f>
        <v>FAUX</v>
      </c>
      <c r="R20" s="32" t="str">
        <f>IF($D20="MiF ",IF($E20="120m ",VLOOKUP($G20,MiF_Courses!$D$3:$M$52,10,FALSE),""),"FAUX")</f>
        <v>FAUX</v>
      </c>
      <c r="S20" s="4" t="b">
        <f>IF($E20="1000m ",IF($D20="MiF ",_xlfn.IFERROR(T20,VLOOKUP(ROUNDUP($H20,1),MiF_Courses!E$3:M$52,9,TRUE)-1),T20))</f>
        <v>0</v>
      </c>
      <c r="T20" s="4" t="b">
        <f>IF($E20="1000m ",IF($D20="MiF ",VLOOKUP($H20,MiF_Courses!E$3:M$52,9,FALSE),""))</f>
        <v>0</v>
      </c>
      <c r="U20" s="4" t="str">
        <f>IF($D20="MiF ",IF($E20="2000m ",_xlfn.IFERROR(V20,VLOOKUP($I20,MiF_Courses!F$3:M$52,8,TRUE)-1),""),V20)</f>
        <v>FAUX</v>
      </c>
      <c r="V20" s="4" t="str">
        <f>IF($D20="MiF ",IF($E20="2000m ",VLOOKUP($I20,MiF_Courses!F$3:M$52,8,FALSE),""),"FAUX")</f>
        <v>FAUX</v>
      </c>
      <c r="W20" s="4" t="b">
        <f>IF($E20="80mH ",IF($D20="MiF ",_xlfn.IFERROR(X20,VLOOKUP(ROUNDUP($J20,1),MiF_Courses!H$3:M$52,6,TRUE)-1),X20))</f>
        <v>0</v>
      </c>
      <c r="X20" s="4" t="b">
        <f>IF($E20="80mH ",IF($D20="MiF ",VLOOKUP($J20,MiF_Courses!H$3:M$52,6,FALSE),""))</f>
        <v>0</v>
      </c>
      <c r="Y20" s="3" t="b">
        <f>IF($E20="200mH ",IF($D20="MiF ",_xlfn.IFERROR(Z20,VLOOKUP($L20,MiF_Courses!I$3:M$52,5,TRUE)-1),Z20))</f>
        <v>0</v>
      </c>
      <c r="Z20" s="26" t="str">
        <f>IF($E20="200mH ",IF($D20="MiF ",VLOOKUP($L20,MiF_Courses!I$3:M$52,5,FALSE),""),"FAUX")</f>
        <v>FAUX</v>
      </c>
      <c r="AA20" s="4" t="b">
        <f>IF($E20="3000m Marche ",IF($D20="MiF ",_xlfn.IFERROR(AB20,VLOOKUP($M20,MiF_Courses!J$3:M$52,4,TRUE)-1),AB20))</f>
        <v>0</v>
      </c>
      <c r="AB20" s="4" t="b">
        <f>IF($E20="3000m Marche ",IF($D20="MiF ",VLOOKUP($M20,MiF_Courses!J$3:M$52,4,FALSE),""),FALSE)</f>
        <v>0</v>
      </c>
      <c r="AC20" s="4" t="b">
        <f>IF($E20="80m ",IF($D20="MiM ",_xlfn.IFERROR(AD20,VLOOKUP($F20,MiM_Courses!C$3:M$52,11,TRUE)-1),AD20))</f>
        <v>0</v>
      </c>
      <c r="AD20" s="4" t="b">
        <f>IF($E20="80m ",IF($D20="MiM ",VLOOKUP($F20,MiM_Courses!C$3:M$52,11,FALSE),""),FALSE)</f>
        <v>0</v>
      </c>
      <c r="AE20" s="4" t="b">
        <f>IF($E20="120m ",IF($D20="MiM ",_xlfn.IFERROR(AF20,VLOOKUP($G20,MiM_Courses!D$3:M$52,10,TRUE)-1),AF20))</f>
        <v>0</v>
      </c>
      <c r="AF20" s="4" t="b">
        <f>IF($E20="120m ",IF($D20="MiM ",VLOOKUP($G20,MiM_Courses!D$3:M$52,10,FALSE),""),FALSE)</f>
        <v>0</v>
      </c>
      <c r="AG20" s="4" t="b">
        <f>IF($E20="1000m ",IF($D20="MiM ",_xlfn.IFERROR(AH20,VLOOKUP($H20,MiM_Courses!E$3:M$52,9,TRUE)-1),AH20))</f>
        <v>0</v>
      </c>
      <c r="AH20" s="75" t="str">
        <f>IF($E20="1000m ",IF($D20="MiM ",VLOOKUP($H20,MiM_Courses!E$3:M$52,9,FALSE),""),"FAUX")</f>
        <v>FAUX</v>
      </c>
      <c r="AI20" s="75" t="b">
        <f>IF($E20="2000m ",IF($D20="MiM ",_xlfn.IFERROR(AJ20,VLOOKUP($I20,MiM_Courses!F$3:M$52,8,TRUE)-1),AJ20))</f>
        <v>0</v>
      </c>
      <c r="AJ20" s="75" t="str">
        <f>IF($E20="2000m ",IF($D20="MiM ",VLOOKUP($I20,MiM_Courses!F$3:M$52,8,FALSE),""),"FAUX")</f>
        <v>FAUX</v>
      </c>
      <c r="AK20" s="4" t="b">
        <f>IF($E20="100mH ",IF($D20="MiM ",_xlfn.IFERROR(AL20,VLOOKUP($K20,MiM_Courses!H$3:M$52,6,"VRAI")-1),AL20))</f>
        <v>0</v>
      </c>
      <c r="AL20" s="75" t="str">
        <f>IF($E20="100mH ",IF($D20="MiM ",VLOOKUP(K20,MiM_Courses!H$3:M$51,6,FALSE),""),"FAUX")</f>
        <v>FAUX</v>
      </c>
      <c r="AM20" s="75" t="str">
        <f>IF($E20="200mH ",IF($D20="MiM ",_xlfn.IFERROR(AN20,VLOOKUP($L20,MiM_Courses!I$3:M$52,5,TRUE)-1),AN20),"FAUX")</f>
        <v>FAUX</v>
      </c>
      <c r="AN20" s="75" t="str">
        <f>IF($E20="200mH ",IF($D20="MiM ",VLOOKUP($L20,MiM_Courses!I$3:M$52,5,FALSE),""),"FAUX")</f>
        <v>FAUX</v>
      </c>
      <c r="AO20" s="75" t="str">
        <f>IF($E20="3000m Marche ",IF($D20="MiM ",_xlfn.IFERROR(AP20,VLOOKUP($M20,MiM_Courses!J$3:M$52,4,TRUE)-1),AP20),"FAUX")</f>
        <v>FAUX</v>
      </c>
      <c r="AP20" s="75" t="str">
        <f>IF($E20="3000m Marche ",IF($D20="MiM ",VLOOKUP($M20,MiM_Courses!J$3:M$52,4,FALSE),""),"FAUX")</f>
        <v>FAUX</v>
      </c>
    </row>
    <row r="21" spans="1:42" ht="15">
      <c r="A21" s="60"/>
      <c r="B21" s="46"/>
      <c r="C21" s="70"/>
      <c r="D21" s="67" t="s">
        <v>189</v>
      </c>
      <c r="E21" s="37"/>
      <c r="F21" s="171"/>
      <c r="G21" s="172"/>
      <c r="H21" s="167"/>
      <c r="I21" s="167"/>
      <c r="J21" s="176"/>
      <c r="K21" s="176"/>
      <c r="L21" s="176"/>
      <c r="M21" s="167"/>
      <c r="N21" s="61">
        <f t="shared" si="0"/>
        <v>0</v>
      </c>
      <c r="O21" s="95" t="str">
        <f>IF($D21="MiF ",IF($E21="80m ",_xlfn.IFERROR(P21,VLOOKUP(F21,MiF_Courses!$C$3:$M$52,11,TRUE)-1),P21))</f>
        <v>faux</v>
      </c>
      <c r="P21" s="12" t="str">
        <f>IF($D21="MiF ",IF($E21="80m ",VLOOKUP($F21,MiF_Courses!$C$3:$M$52,11,FALSE),"faux"))</f>
        <v>faux</v>
      </c>
      <c r="Q21" s="95" t="str">
        <f>IF($D21="MiF ",IF($E21="120m ",_xlfn.IFERROR(R21,VLOOKUP($G21,MiF_Courses!D$3:M$52,10,TRUE)-1),""),R21)</f>
        <v/>
      </c>
      <c r="R21" s="32" t="str">
        <f>IF($D21="MiF ",IF($E21="120m ",VLOOKUP($G21,MiF_Courses!$D$3:$M$52,10,FALSE),""),"FAUX")</f>
        <v/>
      </c>
      <c r="S21" s="4" t="b">
        <f>IF($E21="1000m ",IF($D21="MiF ",_xlfn.IFERROR(T21,VLOOKUP(ROUNDUP($H21,1),MiF_Courses!E$3:M$52,9,TRUE)-1),T21))</f>
        <v>0</v>
      </c>
      <c r="T21" s="4" t="b">
        <f>IF($E21="1000m ",IF($D21="MiF ",VLOOKUP($H21,MiF_Courses!E$3:M$52,9,FALSE),""))</f>
        <v>0</v>
      </c>
      <c r="U21" s="4" t="str">
        <f>IF($D21="MiF ",IF($E21="2000m ",_xlfn.IFERROR(V21,VLOOKUP($I21,MiF_Courses!F$3:M$52,8,TRUE)-1),""),V21)</f>
        <v/>
      </c>
      <c r="V21" s="4" t="str">
        <f>IF($D21="MiF ",IF($E21="2000m ",VLOOKUP($I21,MiF_Courses!F$3:M$52,8,FALSE),""),"FAUX")</f>
        <v/>
      </c>
      <c r="W21" s="4" t="b">
        <f>IF($E21="80mH ",IF($D21="MiF ",_xlfn.IFERROR(X21,VLOOKUP(ROUNDUP($J21,1),MiF_Courses!H$3:M$52,6,TRUE)-1),X21))</f>
        <v>0</v>
      </c>
      <c r="X21" s="4" t="b">
        <f>IF($E21="80mH ",IF($D21="MiF ",VLOOKUP($J21,MiF_Courses!H$3:M$52,6,FALSE),""))</f>
        <v>0</v>
      </c>
      <c r="Y21" s="3" t="b">
        <f>IF($E21="200mH ",IF($D21="MiF ",_xlfn.IFERROR(Z21,VLOOKUP($L21,MiF_Courses!I$3:M$52,5,TRUE)-1),Z21))</f>
        <v>0</v>
      </c>
      <c r="Z21" s="26" t="str">
        <f>IF($E21="200mH ",IF($D21="MiF ",VLOOKUP($L21,MiF_Courses!I$3:M$52,5,FALSE),""),"FAUX")</f>
        <v>FAUX</v>
      </c>
      <c r="AA21" s="4" t="b">
        <f>IF($E21="3000m Marche ",IF($D21="MiF ",_xlfn.IFERROR(AB21,VLOOKUP($M21,MiF_Courses!J$3:M$52,4,TRUE)-1),AB21))</f>
        <v>0</v>
      </c>
      <c r="AB21" s="4" t="b">
        <f>IF($E21="3000m Marche ",IF($D21="MiF ",VLOOKUP($M21,MiF_Courses!J$3:M$52,4,FALSE),""),FALSE)</f>
        <v>0</v>
      </c>
      <c r="AC21" s="4" t="b">
        <f>IF($E21="80m ",IF($D21="MiM ",_xlfn.IFERROR(AD21,VLOOKUP($F21,MiM_Courses!C$3:M$52,11,TRUE)-1),AD21))</f>
        <v>0</v>
      </c>
      <c r="AD21" s="4" t="b">
        <f>IF($E21="80m ",IF($D21="MiM ",VLOOKUP($F21,MiM_Courses!C$3:M$52,11,FALSE),""),FALSE)</f>
        <v>0</v>
      </c>
      <c r="AE21" s="4" t="b">
        <f>IF($E21="120m ",IF($D21="MiM ",_xlfn.IFERROR(AF21,VLOOKUP($G21,MiM_Courses!D$3:M$52,10,TRUE)-1),AF21))</f>
        <v>0</v>
      </c>
      <c r="AF21" s="4" t="b">
        <f>IF($E21="120m ",IF($D21="MiM ",VLOOKUP($G21,MiM_Courses!D$3:M$52,10,FALSE),""),FALSE)</f>
        <v>0</v>
      </c>
      <c r="AG21" s="4" t="b">
        <f>IF($E21="1000m ",IF($D21="MiM ",_xlfn.IFERROR(AH21,VLOOKUP($H21,MiM_Courses!E$3:M$52,9,TRUE)-1),AH21))</f>
        <v>0</v>
      </c>
      <c r="AH21" s="75" t="str">
        <f>IF($E21="1000m ",IF($D21="MiM ",VLOOKUP($H21,MiM_Courses!E$3:M$52,9,FALSE),""),"FAUX")</f>
        <v>FAUX</v>
      </c>
      <c r="AI21" s="75" t="b">
        <f>IF($E21="2000m ",IF($D21="MiM ",_xlfn.IFERROR(AJ21,VLOOKUP($I21,MiM_Courses!F$3:M$52,8,TRUE)-1),AJ21))</f>
        <v>0</v>
      </c>
      <c r="AJ21" s="75" t="str">
        <f>IF($E21="2000m ",IF($D21="MiM ",VLOOKUP($I21,MiM_Courses!F$3:M$52,8,FALSE),""),"FAUX")</f>
        <v>FAUX</v>
      </c>
      <c r="AK21" s="4" t="b">
        <f>IF($E21="100mH ",IF($D21="MiM ",_xlfn.IFERROR(AL21,VLOOKUP($K21,MiM_Courses!H$3:M$52,6,"VRAI")-1),AL21))</f>
        <v>0</v>
      </c>
      <c r="AL21" s="75" t="str">
        <f>IF($E21="100mH ",IF($D21="MiM ",VLOOKUP(K21,MiM_Courses!H$3:M$51,6,FALSE),""),"FAUX")</f>
        <v>FAUX</v>
      </c>
      <c r="AM21" s="75" t="str">
        <f>IF($E21="200mH ",IF($D21="MiM ",_xlfn.IFERROR(AN21,VLOOKUP($L21,MiM_Courses!I$3:M$52,5,TRUE)-1),AN21),"FAUX")</f>
        <v>FAUX</v>
      </c>
      <c r="AN21" s="75" t="str">
        <f>IF($E21="200mH ",IF($D21="MiM ",VLOOKUP($L21,MiM_Courses!I$3:M$52,5,FALSE),""),"FAUX")</f>
        <v>FAUX</v>
      </c>
      <c r="AO21" s="75" t="str">
        <f>IF($E21="3000m Marche ",IF($D21="MiM ",_xlfn.IFERROR(AP21,VLOOKUP($M21,MiM_Courses!J$3:M$52,4,TRUE)-1),AP21),"FAUX")</f>
        <v>FAUX</v>
      </c>
      <c r="AP21" s="75" t="str">
        <f>IF($E21="3000m Marche ",IF($D21="MiM ",VLOOKUP($M21,MiM_Courses!J$3:M$52,4,FALSE),""),"FAUX")</f>
        <v>FAUX</v>
      </c>
    </row>
    <row r="22" spans="1:42" ht="15">
      <c r="A22" s="60"/>
      <c r="B22" s="46"/>
      <c r="C22" s="70"/>
      <c r="D22" s="67" t="s">
        <v>190</v>
      </c>
      <c r="E22" s="37"/>
      <c r="F22" s="171"/>
      <c r="G22" s="172"/>
      <c r="H22" s="167"/>
      <c r="I22" s="167"/>
      <c r="J22" s="176"/>
      <c r="K22" s="176"/>
      <c r="L22" s="176"/>
      <c r="M22" s="167"/>
      <c r="N22" s="61">
        <f t="shared" si="0"/>
        <v>0</v>
      </c>
      <c r="O22" s="95" t="b">
        <f>IF($D22="MiF ",IF($E22="80m ",_xlfn.IFERROR(P22,VLOOKUP(F22,MiF_Courses!$C$3:$M$52,11,TRUE)-1),P22))</f>
        <v>0</v>
      </c>
      <c r="P22" s="12" t="b">
        <f>IF($D22="MiF ",IF($E22="80m ",VLOOKUP($F22,MiF_Courses!$C$3:$M$52,11,FALSE),"faux"))</f>
        <v>0</v>
      </c>
      <c r="Q22" s="95" t="str">
        <f>IF($D22="MiF ",IF($E22="120m ",_xlfn.IFERROR(R22,VLOOKUP($G22,MiF_Courses!D$3:M$52,10,TRUE)-1),""),R22)</f>
        <v>FAUX</v>
      </c>
      <c r="R22" s="32" t="str">
        <f>IF($D22="MiF ",IF($E22="120m ",VLOOKUP($G22,MiF_Courses!$D$3:$M$52,10,FALSE),""),"FAUX")</f>
        <v>FAUX</v>
      </c>
      <c r="S22" s="4" t="b">
        <f>IF($E22="1000m ",IF($D22="MiF ",_xlfn.IFERROR(T22,VLOOKUP(ROUNDUP($H22,1),MiF_Courses!E$3:M$52,9,TRUE)-1),T22))</f>
        <v>0</v>
      </c>
      <c r="T22" s="4" t="b">
        <f>IF($E22="1000m ",IF($D22="MiF ",VLOOKUP($H22,MiF_Courses!E$3:M$52,9,FALSE),""))</f>
        <v>0</v>
      </c>
      <c r="U22" s="4" t="str">
        <f>IF($D22="MiF ",IF($E22="2000m ",_xlfn.IFERROR(V22,VLOOKUP($I22,MiF_Courses!F$3:M$52,8,TRUE)-1),""),V22)</f>
        <v>FAUX</v>
      </c>
      <c r="V22" s="4" t="str">
        <f>IF($D22="MiF ",IF($E22="2000m ",VLOOKUP($I22,MiF_Courses!F$3:M$52,8,FALSE),""),"FAUX")</f>
        <v>FAUX</v>
      </c>
      <c r="W22" s="4" t="b">
        <f>IF($E22="80mH ",IF($D22="MiF ",_xlfn.IFERROR(X22,VLOOKUP(ROUNDUP($J22,1),MiF_Courses!H$3:M$52,6,TRUE)-1),X22))</f>
        <v>0</v>
      </c>
      <c r="X22" s="4" t="b">
        <f>IF($E22="80mH ",IF($D22="MiF ",VLOOKUP($J22,MiF_Courses!H$3:M$52,6,FALSE),""))</f>
        <v>0</v>
      </c>
      <c r="Y22" s="3" t="b">
        <f>IF($E22="200mH ",IF($D22="MiF ",_xlfn.IFERROR(Z22,VLOOKUP($L22,MiF_Courses!I$3:M$52,5,TRUE)-1),Z22))</f>
        <v>0</v>
      </c>
      <c r="Z22" s="26" t="str">
        <f>IF($E22="200mH ",IF($D22="MiF ",VLOOKUP($L22,MiF_Courses!I$3:M$52,5,FALSE),""),"FAUX")</f>
        <v>FAUX</v>
      </c>
      <c r="AA22" s="4" t="b">
        <f>IF($E22="3000m Marche ",IF($D22="MiF ",_xlfn.IFERROR(AB22,VLOOKUP($M22,MiF_Courses!J$3:M$52,4,TRUE)-1),AB22))</f>
        <v>0</v>
      </c>
      <c r="AB22" s="4" t="b">
        <f>IF($E22="3000m Marche ",IF($D22="MiF ",VLOOKUP($M22,MiF_Courses!J$3:M$52,4,FALSE),""),FALSE)</f>
        <v>0</v>
      </c>
      <c r="AC22" s="4" t="b">
        <f>IF($E22="80m ",IF($D22="MiM ",_xlfn.IFERROR(AD22,VLOOKUP($F22,MiM_Courses!C$3:M$52,11,TRUE)-1),AD22))</f>
        <v>0</v>
      </c>
      <c r="AD22" s="4" t="b">
        <f>IF($E22="80m ",IF($D22="MiM ",VLOOKUP($F22,MiM_Courses!C$3:M$52,11,FALSE),""),FALSE)</f>
        <v>0</v>
      </c>
      <c r="AE22" s="4" t="b">
        <f>IF($E22="120m ",IF($D22="MiM ",_xlfn.IFERROR(AF22,VLOOKUP($G22,MiM_Courses!D$3:M$52,10,TRUE)-1),AF22))</f>
        <v>0</v>
      </c>
      <c r="AF22" s="4" t="b">
        <f>IF($E22="120m ",IF($D22="MiM ",VLOOKUP($G22,MiM_Courses!D$3:M$52,10,FALSE),""),FALSE)</f>
        <v>0</v>
      </c>
      <c r="AG22" s="4" t="b">
        <f>IF($E22="1000m ",IF($D22="MiM ",_xlfn.IFERROR(AH22,VLOOKUP($H22,MiM_Courses!E$3:M$52,9,TRUE)-1),AH22))</f>
        <v>0</v>
      </c>
      <c r="AH22" s="75" t="str">
        <f>IF($E22="1000m ",IF($D22="MiM ",VLOOKUP($H22,MiM_Courses!E$3:M$52,9,FALSE),""),"FAUX")</f>
        <v>FAUX</v>
      </c>
      <c r="AI22" s="75" t="b">
        <f>IF($E22="2000m ",IF($D22="MiM ",_xlfn.IFERROR(AJ22,VLOOKUP($I22,MiM_Courses!F$3:M$52,8,TRUE)-1),AJ22))</f>
        <v>0</v>
      </c>
      <c r="AJ22" s="75" t="str">
        <f>IF($E22="2000m ",IF($D22="MiM ",VLOOKUP($I22,MiM_Courses!F$3:M$52,8,FALSE),""),"FAUX")</f>
        <v>FAUX</v>
      </c>
      <c r="AK22" s="4" t="b">
        <f>IF($E22="100mH ",IF($D22="MiM ",_xlfn.IFERROR(AL22,VLOOKUP($K22,MiM_Courses!H$3:M$52,6,"VRAI")-1),AL22))</f>
        <v>0</v>
      </c>
      <c r="AL22" s="75" t="str">
        <f>IF($E22="100mH ",IF($D22="MiM ",VLOOKUP(K22,MiM_Courses!H$3:M$51,6,FALSE),""),"FAUX")</f>
        <v>FAUX</v>
      </c>
      <c r="AM22" s="75" t="str">
        <f>IF($E22="200mH ",IF($D22="MiM ",_xlfn.IFERROR(AN22,VLOOKUP($L22,MiM_Courses!I$3:M$52,5,TRUE)-1),AN22),"FAUX")</f>
        <v>FAUX</v>
      </c>
      <c r="AN22" s="75" t="str">
        <f>IF($E22="200mH ",IF($D22="MiM ",VLOOKUP($L22,MiM_Courses!I$3:M$52,5,FALSE),""),"FAUX")</f>
        <v>FAUX</v>
      </c>
      <c r="AO22" s="75" t="str">
        <f>IF($E22="3000m Marche ",IF($D22="MiM ",_xlfn.IFERROR(AP22,VLOOKUP($M22,MiM_Courses!J$3:M$52,4,TRUE)-1),AP22),"FAUX")</f>
        <v>FAUX</v>
      </c>
      <c r="AP22" s="75" t="str">
        <f>IF($E22="3000m Marche ",IF($D22="MiM ",VLOOKUP($M22,MiM_Courses!J$3:M$52,4,FALSE),""),"FAUX")</f>
        <v>FAUX</v>
      </c>
    </row>
    <row r="23" spans="1:42" ht="15">
      <c r="A23" s="60"/>
      <c r="B23" s="46"/>
      <c r="C23" s="70"/>
      <c r="D23" s="67" t="s">
        <v>189</v>
      </c>
      <c r="E23" s="37"/>
      <c r="F23" s="171"/>
      <c r="G23" s="172"/>
      <c r="H23" s="167"/>
      <c r="I23" s="167"/>
      <c r="J23" s="176"/>
      <c r="K23" s="176"/>
      <c r="L23" s="176"/>
      <c r="M23" s="167"/>
      <c r="N23" s="61">
        <f t="shared" si="0"/>
        <v>0</v>
      </c>
      <c r="O23" s="95" t="str">
        <f>IF($D23="MiF ",IF($E23="80m ",_xlfn.IFERROR(P23,VLOOKUP(F23,MiF_Courses!$C$3:$M$52,11,TRUE)-1),P23))</f>
        <v>faux</v>
      </c>
      <c r="P23" s="12" t="str">
        <f>IF($D23="MiF ",IF($E23="80m ",VLOOKUP($F23,MiF_Courses!$C$3:$M$52,11,FALSE),"faux"))</f>
        <v>faux</v>
      </c>
      <c r="Q23" s="95" t="str">
        <f>IF($D23="MiF ",IF($E23="120m ",_xlfn.IFERROR(R23,VLOOKUP($G23,MiF_Courses!D$3:M$52,10,TRUE)-1),""),R23)</f>
        <v/>
      </c>
      <c r="R23" s="32" t="str">
        <f>IF($D23="MiF ",IF($E23="120m ",VLOOKUP($G23,MiF_Courses!$D$3:$M$52,10,FALSE),""),"FAUX")</f>
        <v/>
      </c>
      <c r="S23" s="4" t="b">
        <f>IF($E23="1000m ",IF($D23="MiF ",_xlfn.IFERROR(T23,VLOOKUP(ROUNDUP($H23,1),MiF_Courses!E$3:M$52,9,TRUE)-1),T23))</f>
        <v>0</v>
      </c>
      <c r="T23" s="4" t="b">
        <f>IF($E23="1000m ",IF($D23="MiF ",VLOOKUP($H23,MiF_Courses!E$3:M$52,9,FALSE),""))</f>
        <v>0</v>
      </c>
      <c r="U23" s="4" t="str">
        <f>IF($D23="MiF ",IF($E23="2000m ",_xlfn.IFERROR(V23,VLOOKUP($I23,MiF_Courses!F$3:M$52,8,TRUE)-1),""),V23)</f>
        <v/>
      </c>
      <c r="V23" s="4" t="str">
        <f>IF($D23="MiF ",IF($E23="2000m ",VLOOKUP($I23,MiF_Courses!F$3:M$52,8,FALSE),""),"FAUX")</f>
        <v/>
      </c>
      <c r="W23" s="4" t="b">
        <f>IF($E23="80mH ",IF($D23="MiF ",_xlfn.IFERROR(X23,VLOOKUP(ROUNDUP($J23,1),MiF_Courses!H$3:M$52,6,TRUE)-1),X23))</f>
        <v>0</v>
      </c>
      <c r="X23" s="4" t="b">
        <f>IF($E23="80mH ",IF($D23="MiF ",VLOOKUP($J23,MiF_Courses!H$3:M$52,6,FALSE),""))</f>
        <v>0</v>
      </c>
      <c r="Y23" s="3" t="b">
        <f>IF($E23="200mH ",IF($D23="MiF ",_xlfn.IFERROR(Z23,VLOOKUP($L23,MiF_Courses!I$3:M$52,5,TRUE)-1),Z23))</f>
        <v>0</v>
      </c>
      <c r="Z23" s="26" t="str">
        <f>IF($E23="200mH ",IF($D23="MiF ",VLOOKUP($L23,MiF_Courses!I$3:M$52,5,FALSE),""),"FAUX")</f>
        <v>FAUX</v>
      </c>
      <c r="AA23" s="4" t="b">
        <f>IF($E23="3000m Marche ",IF($D23="MiF ",_xlfn.IFERROR(AB23,VLOOKUP($M23,MiF_Courses!J$3:M$52,4,TRUE)-1),AB23))</f>
        <v>0</v>
      </c>
      <c r="AB23" s="4" t="b">
        <f>IF($E23="3000m Marche ",IF($D23="MiF ",VLOOKUP($M23,MiF_Courses!J$3:M$52,4,FALSE),""),FALSE)</f>
        <v>0</v>
      </c>
      <c r="AC23" s="4" t="b">
        <f>IF($E23="80m ",IF($D23="MiM ",_xlfn.IFERROR(AD23,VLOOKUP($F23,MiM_Courses!C$3:M$52,11,TRUE)-1),AD23))</f>
        <v>0</v>
      </c>
      <c r="AD23" s="4" t="b">
        <f>IF($E23="80m ",IF($D23="MiM ",VLOOKUP($F23,MiM_Courses!C$3:M$52,11,FALSE),""),FALSE)</f>
        <v>0</v>
      </c>
      <c r="AE23" s="4" t="b">
        <f>IF($E23="120m ",IF($D23="MiM ",_xlfn.IFERROR(AF23,VLOOKUP($G23,MiM_Courses!D$3:M$52,10,TRUE)-1),AF23))</f>
        <v>0</v>
      </c>
      <c r="AF23" s="4" t="b">
        <f>IF($E23="120m ",IF($D23="MiM ",VLOOKUP($G23,MiM_Courses!D$3:M$52,10,FALSE),""),FALSE)</f>
        <v>0</v>
      </c>
      <c r="AG23" s="4" t="b">
        <f>IF($E23="1000m ",IF($D23="MiM ",_xlfn.IFERROR(AH23,VLOOKUP($H23,MiM_Courses!E$3:M$52,9,TRUE)-1),AH23))</f>
        <v>0</v>
      </c>
      <c r="AH23" s="75" t="str">
        <f>IF($E23="1000m ",IF($D23="MiM ",VLOOKUP($H23,MiM_Courses!E$3:M$52,9,FALSE),""),"FAUX")</f>
        <v>FAUX</v>
      </c>
      <c r="AI23" s="75" t="b">
        <f>IF($E23="2000m ",IF($D23="MiM ",_xlfn.IFERROR(AJ23,VLOOKUP($I23,MiM_Courses!F$3:M$52,8,TRUE)-1),AJ23))</f>
        <v>0</v>
      </c>
      <c r="AJ23" s="75" t="str">
        <f>IF($E23="2000m ",IF($D23="MiM ",VLOOKUP($I23,MiM_Courses!F$3:M$52,8,FALSE),""),"FAUX")</f>
        <v>FAUX</v>
      </c>
      <c r="AK23" s="4" t="b">
        <f>IF($E23="100mH ",IF($D23="MiM ",_xlfn.IFERROR(AL23,VLOOKUP($K23,MiM_Courses!H$3:M$52,6,"VRAI")-1),AL23))</f>
        <v>0</v>
      </c>
      <c r="AL23" s="75" t="str">
        <f>IF($E23="100mH ",IF($D23="MiM ",VLOOKUP(K23,MiM_Courses!H$3:M$51,6,FALSE),""),"FAUX")</f>
        <v>FAUX</v>
      </c>
      <c r="AM23" s="75" t="str">
        <f>IF($E23="200mH ",IF($D23="MiM ",_xlfn.IFERROR(AN23,VLOOKUP($L23,MiM_Courses!I$3:M$52,5,TRUE)-1),AN23),"FAUX")</f>
        <v>FAUX</v>
      </c>
      <c r="AN23" s="75" t="str">
        <f>IF($E23="200mH ",IF($D23="MiM ",VLOOKUP($L23,MiM_Courses!I$3:M$52,5,FALSE),""),"FAUX")</f>
        <v>FAUX</v>
      </c>
      <c r="AO23" s="75" t="str">
        <f>IF($E23="3000m Marche ",IF($D23="MiM ",_xlfn.IFERROR(AP23,VLOOKUP($M23,MiM_Courses!J$3:M$52,4,TRUE)-1),AP23),"FAUX")</f>
        <v>FAUX</v>
      </c>
      <c r="AP23" s="75" t="str">
        <f>IF($E23="3000m Marche ",IF($D23="MiM ",VLOOKUP($M23,MiM_Courses!J$3:M$52,4,FALSE),""),"FAUX")</f>
        <v>FAUX</v>
      </c>
    </row>
    <row r="24" spans="1:42" ht="15">
      <c r="A24" s="60"/>
      <c r="B24" s="46"/>
      <c r="C24" s="70"/>
      <c r="D24" s="67" t="s">
        <v>189</v>
      </c>
      <c r="E24" s="37"/>
      <c r="F24" s="171"/>
      <c r="G24" s="172"/>
      <c r="H24" s="167"/>
      <c r="I24" s="167"/>
      <c r="J24" s="176"/>
      <c r="K24" s="176"/>
      <c r="L24" s="176"/>
      <c r="M24" s="167"/>
      <c r="N24" s="61">
        <f t="shared" si="0"/>
        <v>0</v>
      </c>
      <c r="O24" s="95" t="str">
        <f>IF($D24="MiF ",IF($E24="80m ",_xlfn.IFERROR(P24,VLOOKUP(F24,MiF_Courses!$C$3:$M$52,11,TRUE)-1),P24))</f>
        <v>faux</v>
      </c>
      <c r="P24" s="12" t="str">
        <f>IF($D24="MiF ",IF($E24="80m ",VLOOKUP($F24,MiF_Courses!$C$3:$M$52,11,FALSE),"faux"))</f>
        <v>faux</v>
      </c>
      <c r="Q24" s="95" t="str">
        <f>IF($D24="MiF ",IF($E24="120m ",_xlfn.IFERROR(R24,VLOOKUP($G24,MiF_Courses!D$3:M$52,10,TRUE)-1),""),R24)</f>
        <v/>
      </c>
      <c r="R24" s="32" t="str">
        <f>IF($D24="MiF ",IF($E24="120m ",VLOOKUP($G24,MiF_Courses!$D$3:$M$52,10,FALSE),""),"FAUX")</f>
        <v/>
      </c>
      <c r="S24" s="4" t="b">
        <f>IF($E24="1000m ",IF($D24="MiF ",_xlfn.IFERROR(T24,VLOOKUP(ROUNDUP($H24,1),MiF_Courses!E$3:M$52,9,TRUE)-1),T24))</f>
        <v>0</v>
      </c>
      <c r="T24" s="4" t="b">
        <f>IF($E24="1000m ",IF($D24="MiF ",VLOOKUP($H24,MiF_Courses!E$3:M$52,9,FALSE),""))</f>
        <v>0</v>
      </c>
      <c r="U24" s="4" t="str">
        <f>IF($D24="MiF ",IF($E24="2000m ",_xlfn.IFERROR(V24,VLOOKUP($I24,MiF_Courses!F$3:M$52,8,TRUE)-1),""),V24)</f>
        <v/>
      </c>
      <c r="V24" s="4" t="str">
        <f>IF($D24="MiF ",IF($E24="2000m ",VLOOKUP($I24,MiF_Courses!F$3:M$52,8,FALSE),""),"FAUX")</f>
        <v/>
      </c>
      <c r="W24" s="4" t="b">
        <f>IF($E24="80mH ",IF($D24="MiF ",_xlfn.IFERROR(X24,VLOOKUP(ROUNDUP($J24,1),MiF_Courses!H$3:M$52,6,TRUE)-1),X24))</f>
        <v>0</v>
      </c>
      <c r="X24" s="4" t="b">
        <f>IF($E24="80mH ",IF($D24="MiF ",VLOOKUP($J24,MiF_Courses!H$3:M$52,6,FALSE),""))</f>
        <v>0</v>
      </c>
      <c r="Y24" s="3" t="b">
        <f>IF($E24="200mH ",IF($D24="MiF ",_xlfn.IFERROR(Z24,VLOOKUP($L24,MiF_Courses!I$3:M$52,5,TRUE)-1),Z24))</f>
        <v>0</v>
      </c>
      <c r="Z24" s="26" t="str">
        <f>IF($E24="200mH ",IF($D24="MiF ",VLOOKUP($L24,MiF_Courses!I$3:M$52,5,FALSE),""),"FAUX")</f>
        <v>FAUX</v>
      </c>
      <c r="AA24" s="4" t="b">
        <f>IF($E24="3000m Marche ",IF($D24="MiF ",_xlfn.IFERROR(AB24,VLOOKUP($M24,MiF_Courses!J$3:M$52,4,TRUE)-1),AB24))</f>
        <v>0</v>
      </c>
      <c r="AB24" s="4" t="b">
        <f>IF($E24="3000m Marche ",IF($D24="MiF ",VLOOKUP($M24,MiF_Courses!J$3:M$52,4,FALSE),""),FALSE)</f>
        <v>0</v>
      </c>
      <c r="AC24" s="4" t="b">
        <f>IF($E24="80m ",IF($D24="MiM ",_xlfn.IFERROR(AD24,VLOOKUP($F24,MiM_Courses!C$3:M$52,11,TRUE)-1),AD24))</f>
        <v>0</v>
      </c>
      <c r="AD24" s="4" t="b">
        <f>IF($E24="80m ",IF($D24="MiM ",VLOOKUP($F24,MiM_Courses!C$3:M$52,11,FALSE),""),FALSE)</f>
        <v>0</v>
      </c>
      <c r="AE24" s="4" t="b">
        <f>IF($E24="120m ",IF($D24="MiM ",_xlfn.IFERROR(AF24,VLOOKUP($G24,MiM_Courses!D$3:M$52,10,TRUE)-1),AF24))</f>
        <v>0</v>
      </c>
      <c r="AF24" s="4" t="b">
        <f>IF($E24="120m ",IF($D24="MiM ",VLOOKUP($G24,MiM_Courses!D$3:M$52,10,FALSE),""),FALSE)</f>
        <v>0</v>
      </c>
      <c r="AG24" s="4" t="b">
        <f>IF($E24="1000m ",IF($D24="MiM ",_xlfn.IFERROR(AH24,VLOOKUP($H24,MiM_Courses!E$3:M$52,9,TRUE)-1),AH24))</f>
        <v>0</v>
      </c>
      <c r="AH24" s="75" t="str">
        <f>IF($E24="1000m ",IF($D24="MiM ",VLOOKUP($H24,MiM_Courses!E$3:M$52,9,FALSE),""),"FAUX")</f>
        <v>FAUX</v>
      </c>
      <c r="AI24" s="75" t="b">
        <f>IF($E24="2000m ",IF($D24="MiM ",_xlfn.IFERROR(AJ24,VLOOKUP($I24,MiM_Courses!F$3:M$52,8,TRUE)-1),AJ24))</f>
        <v>0</v>
      </c>
      <c r="AJ24" s="75" t="str">
        <f>IF($E24="2000m ",IF($D24="MiM ",VLOOKUP($I24,MiM_Courses!F$3:M$52,8,FALSE),""),"FAUX")</f>
        <v>FAUX</v>
      </c>
      <c r="AK24" s="4" t="b">
        <f>IF($E24="100mH ",IF($D24="MiM ",_xlfn.IFERROR(AL24,VLOOKUP($K24,MiM_Courses!H$3:M$52,6,"VRAI")-1),AL24))</f>
        <v>0</v>
      </c>
      <c r="AL24" s="75" t="str">
        <f>IF($E24="100mH ",IF($D24="MiM ",VLOOKUP(K24,MiM_Courses!H$3:M$51,6,FALSE),""),"FAUX")</f>
        <v>FAUX</v>
      </c>
      <c r="AM24" s="75" t="str">
        <f>IF($E24="200mH ",IF($D24="MiM ",_xlfn.IFERROR(AN24,VLOOKUP($L24,MiM_Courses!I$3:M$52,5,TRUE)-1),AN24),"FAUX")</f>
        <v>FAUX</v>
      </c>
      <c r="AN24" s="75" t="str">
        <f>IF($E24="200mH ",IF($D24="MiM ",VLOOKUP($L24,MiM_Courses!I$3:M$52,5,FALSE),""),"FAUX")</f>
        <v>FAUX</v>
      </c>
      <c r="AO24" s="75" t="str">
        <f>IF($E24="3000m Marche ",IF($D24="MiM ",_xlfn.IFERROR(AP24,VLOOKUP($M24,MiM_Courses!J$3:M$52,4,TRUE)-1),AP24),"FAUX")</f>
        <v>FAUX</v>
      </c>
      <c r="AP24" s="75" t="str">
        <f>IF($E24="3000m Marche ",IF($D24="MiM ",VLOOKUP($M24,MiM_Courses!J$3:M$52,4,FALSE),""),"FAUX")</f>
        <v>FAUX</v>
      </c>
    </row>
    <row r="25" spans="1:42" ht="15">
      <c r="A25" s="60"/>
      <c r="B25" s="46"/>
      <c r="C25" s="70"/>
      <c r="D25" s="67" t="s">
        <v>189</v>
      </c>
      <c r="E25" s="37"/>
      <c r="F25" s="171"/>
      <c r="G25" s="172"/>
      <c r="H25" s="167"/>
      <c r="I25" s="167"/>
      <c r="J25" s="176"/>
      <c r="K25" s="176"/>
      <c r="L25" s="176"/>
      <c r="M25" s="167"/>
      <c r="N25" s="61">
        <f t="shared" si="0"/>
        <v>0</v>
      </c>
      <c r="O25" s="95" t="str">
        <f>IF($D25="MiF ",IF($E25="80m ",_xlfn.IFERROR(P25,VLOOKUP(F25,MiF_Courses!$C$3:$M$52,11,TRUE)-1),P25))</f>
        <v>faux</v>
      </c>
      <c r="P25" s="12" t="str">
        <f>IF($D25="MiF ",IF($E25="80m ",VLOOKUP($F25,MiF_Courses!$C$3:$M$52,11,FALSE),"faux"))</f>
        <v>faux</v>
      </c>
      <c r="Q25" s="95" t="str">
        <f>IF($D25="MiF ",IF($E25="120m ",_xlfn.IFERROR(R25,VLOOKUP($G25,MiF_Courses!D$3:M$52,10,TRUE)-1),""),R25)</f>
        <v/>
      </c>
      <c r="R25" s="32" t="str">
        <f>IF($D25="MiF ",IF($E25="120m ",VLOOKUP($G25,MiF_Courses!$D$3:$M$52,10,FALSE),""),"FAUX")</f>
        <v/>
      </c>
      <c r="S25" s="4" t="b">
        <f>IF($E25="1000m ",IF($D25="MiF ",_xlfn.IFERROR(T25,VLOOKUP(ROUNDUP($H25,1),MiF_Courses!E$3:M$52,9,TRUE)-1),T25))</f>
        <v>0</v>
      </c>
      <c r="T25" s="4" t="b">
        <f>IF($E25="1000m ",IF($D25="MiF ",VLOOKUP($H25,MiF_Courses!E$3:M$52,9,FALSE),""))</f>
        <v>0</v>
      </c>
      <c r="U25" s="4" t="str">
        <f>IF($D25="MiF ",IF($E25="2000m ",_xlfn.IFERROR(V25,VLOOKUP($I25,MiF_Courses!F$3:M$52,8,TRUE)-1),""),V25)</f>
        <v/>
      </c>
      <c r="V25" s="4" t="str">
        <f>IF($D25="MiF ",IF($E25="2000m ",VLOOKUP($I25,MiF_Courses!F$3:M$52,8,FALSE),""),"FAUX")</f>
        <v/>
      </c>
      <c r="W25" s="4" t="b">
        <f>IF($E25="80mH ",IF($D25="MiF ",_xlfn.IFERROR(X25,VLOOKUP(ROUNDUP($J25,1),MiF_Courses!H$3:M$52,6,TRUE)-1),X25))</f>
        <v>0</v>
      </c>
      <c r="X25" s="4" t="b">
        <f>IF($E25="80mH ",IF($D25="MiF ",VLOOKUP($J25,MiF_Courses!H$3:M$52,6,FALSE),""))</f>
        <v>0</v>
      </c>
      <c r="Y25" s="3" t="b">
        <f>IF($E25="200mH ",IF($D25="MiF ",_xlfn.IFERROR(Z25,VLOOKUP($L25,MiF_Courses!I$3:M$52,5,TRUE)-1),Z25))</f>
        <v>0</v>
      </c>
      <c r="Z25" s="26" t="str">
        <f>IF($E25="200mH ",IF($D25="MiF ",VLOOKUP($L25,MiF_Courses!I$3:M$52,5,FALSE),""),"FAUX")</f>
        <v>FAUX</v>
      </c>
      <c r="AA25" s="4" t="b">
        <f>IF($E25="3000m Marche ",IF($D25="MiF ",_xlfn.IFERROR(AB25,VLOOKUP($M25,MiF_Courses!J$3:M$52,4,TRUE)-1),AB25))</f>
        <v>0</v>
      </c>
      <c r="AB25" s="4" t="b">
        <f>IF($E25="3000m Marche ",IF($D25="MiF ",VLOOKUP($M25,MiF_Courses!J$3:M$52,4,FALSE),""),FALSE)</f>
        <v>0</v>
      </c>
      <c r="AC25" s="4" t="b">
        <f>IF($E25="80m ",IF($D25="MiM ",_xlfn.IFERROR(AD25,VLOOKUP($F25,MiM_Courses!C$3:M$52,11,TRUE)-1),AD25))</f>
        <v>0</v>
      </c>
      <c r="AD25" s="4" t="b">
        <f>IF($E25="80m ",IF($D25="MiM ",VLOOKUP($F25,MiM_Courses!C$3:M$52,11,FALSE),""),FALSE)</f>
        <v>0</v>
      </c>
      <c r="AE25" s="4" t="b">
        <f>IF($E25="120m ",IF($D25="MiM ",_xlfn.IFERROR(AF25,VLOOKUP($G25,MiM_Courses!D$3:M$52,10,TRUE)-1),AF25))</f>
        <v>0</v>
      </c>
      <c r="AF25" s="4" t="b">
        <f>IF($E25="120m ",IF($D25="MiM ",VLOOKUP($G25,MiM_Courses!D$3:M$52,10,FALSE),""),FALSE)</f>
        <v>0</v>
      </c>
      <c r="AG25" s="4" t="b">
        <f>IF($E25="1000m ",IF($D25="MiM ",_xlfn.IFERROR(AH25,VLOOKUP($H25,MiM_Courses!E$3:M$52,9,TRUE)-1),AH25))</f>
        <v>0</v>
      </c>
      <c r="AH25" s="75" t="str">
        <f>IF($E25="1000m ",IF($D25="MiM ",VLOOKUP($H25,MiM_Courses!E$3:M$52,9,FALSE),""),"FAUX")</f>
        <v>FAUX</v>
      </c>
      <c r="AI25" s="75" t="b">
        <f>IF($E25="2000m ",IF($D25="MiM ",_xlfn.IFERROR(AJ25,VLOOKUP($I25,MiM_Courses!F$3:M$52,8,TRUE)-1),AJ25))</f>
        <v>0</v>
      </c>
      <c r="AJ25" s="75" t="str">
        <f>IF($E25="2000m ",IF($D25="MiM ",VLOOKUP($I25,MiM_Courses!F$3:M$52,8,FALSE),""),"FAUX")</f>
        <v>FAUX</v>
      </c>
      <c r="AK25" s="4" t="b">
        <f>IF($E25="100mH ",IF($D25="MiM ",_xlfn.IFERROR(AL25,VLOOKUP($K25,MiM_Courses!H$3:M$52,6,"VRAI")-1),AL25))</f>
        <v>0</v>
      </c>
      <c r="AL25" s="75" t="str">
        <f>IF($E25="100mH ",IF($D25="MiM ",VLOOKUP(K25,MiM_Courses!H$3:M$51,6,FALSE),""),"FAUX")</f>
        <v>FAUX</v>
      </c>
      <c r="AM25" s="75" t="str">
        <f>IF($E25="200mH ",IF($D25="MiM ",_xlfn.IFERROR(AN25,VLOOKUP($L25,MiM_Courses!I$3:M$52,5,TRUE)-1),AN25),"FAUX")</f>
        <v>FAUX</v>
      </c>
      <c r="AN25" s="75" t="str">
        <f>IF($E25="200mH ",IF($D25="MiM ",VLOOKUP($L25,MiM_Courses!I$3:M$52,5,FALSE),""),"FAUX")</f>
        <v>FAUX</v>
      </c>
      <c r="AO25" s="75" t="str">
        <f>IF($E25="3000m Marche ",IF($D25="MiM ",_xlfn.IFERROR(AP25,VLOOKUP($M25,MiM_Courses!J$3:M$52,4,TRUE)-1),AP25),"FAUX")</f>
        <v>FAUX</v>
      </c>
      <c r="AP25" s="75" t="str">
        <f>IF($E25="3000m Marche ",IF($D25="MiM ",VLOOKUP($M25,MiM_Courses!J$3:M$52,4,FALSE),""),"FAUX")</f>
        <v>FAUX</v>
      </c>
    </row>
    <row r="26" spans="1:42" ht="15">
      <c r="A26" s="60"/>
      <c r="B26" s="46"/>
      <c r="C26" s="70"/>
      <c r="D26" s="67" t="s">
        <v>189</v>
      </c>
      <c r="E26" s="37"/>
      <c r="F26" s="171"/>
      <c r="G26" s="172"/>
      <c r="H26" s="167"/>
      <c r="I26" s="167"/>
      <c r="J26" s="176"/>
      <c r="K26" s="176"/>
      <c r="L26" s="176"/>
      <c r="M26" s="167"/>
      <c r="N26" s="61">
        <f t="shared" si="0"/>
        <v>0</v>
      </c>
      <c r="O26" s="95" t="str">
        <f>IF($D26="MiF ",IF($E26="80m ",_xlfn.IFERROR(P26,VLOOKUP(F26,MiF_Courses!$C$3:$M$52,11,TRUE)-1),P26))</f>
        <v>faux</v>
      </c>
      <c r="P26" s="12" t="str">
        <f>IF($D26="MiF ",IF($E26="80m ",VLOOKUP($F26,MiF_Courses!$C$3:$M$52,11,FALSE),"faux"))</f>
        <v>faux</v>
      </c>
      <c r="Q26" s="95" t="str">
        <f>IF($D26="MiF ",IF($E26="120m ",_xlfn.IFERROR(R26,VLOOKUP($G26,MiF_Courses!D$3:M$52,10,TRUE)-1),""),R26)</f>
        <v/>
      </c>
      <c r="R26" s="32" t="str">
        <f>IF($D26="MiF ",IF($E26="120m ",VLOOKUP($G26,MiF_Courses!$D$3:$M$52,10,FALSE),""),"FAUX")</f>
        <v/>
      </c>
      <c r="S26" s="4" t="b">
        <f>IF($E26="1000m ",IF($D26="MiF ",_xlfn.IFERROR(T26,VLOOKUP(ROUNDUP($H26,1),MiF_Courses!E$3:M$52,9,TRUE)-1),T26))</f>
        <v>0</v>
      </c>
      <c r="T26" s="4" t="b">
        <f>IF($E26="1000m ",IF($D26="MiF ",VLOOKUP($H26,MiF_Courses!E$3:M$52,9,FALSE),""))</f>
        <v>0</v>
      </c>
      <c r="U26" s="4" t="str">
        <f>IF($D26="MiF ",IF($E26="2000m ",_xlfn.IFERROR(V26,VLOOKUP($I26,MiF_Courses!F$3:M$52,8,TRUE)-1),""),V26)</f>
        <v/>
      </c>
      <c r="V26" s="4" t="str">
        <f>IF($D26="MiF ",IF($E26="2000m ",VLOOKUP($I26,MiF_Courses!F$3:M$52,8,FALSE),""),"FAUX")</f>
        <v/>
      </c>
      <c r="W26" s="4" t="b">
        <f>IF($E26="80mH ",IF($D26="MiF ",_xlfn.IFERROR(X26,VLOOKUP(ROUNDUP($J26,1),MiF_Courses!H$3:M$52,6,TRUE)-1),X26))</f>
        <v>0</v>
      </c>
      <c r="X26" s="4" t="b">
        <f>IF($E26="80mH ",IF($D26="MiF ",VLOOKUP($J26,MiF_Courses!H$3:M$52,6,FALSE),""))</f>
        <v>0</v>
      </c>
      <c r="Y26" s="3" t="b">
        <f>IF($E26="200mH ",IF($D26="MiF ",_xlfn.IFERROR(Z26,VLOOKUP($L26,MiF_Courses!I$3:M$52,5,TRUE)-1),Z26))</f>
        <v>0</v>
      </c>
      <c r="Z26" s="26" t="str">
        <f>IF($E26="200mH ",IF($D26="MiF ",VLOOKUP($L26,MiF_Courses!I$3:M$52,5,FALSE),""),"FAUX")</f>
        <v>FAUX</v>
      </c>
      <c r="AA26" s="4" t="b">
        <f>IF($E26="3000m Marche ",IF($D26="MiF ",_xlfn.IFERROR(AB26,VLOOKUP($M26,MiF_Courses!J$3:M$52,4,TRUE)-1),AB26))</f>
        <v>0</v>
      </c>
      <c r="AB26" s="4" t="b">
        <f>IF($E26="3000m Marche ",IF($D26="MiF ",VLOOKUP($M26,MiF_Courses!J$3:M$52,4,FALSE),""),FALSE)</f>
        <v>0</v>
      </c>
      <c r="AC26" s="4" t="b">
        <f>IF($E26="80m ",IF($D26="MiM ",_xlfn.IFERROR(AD26,VLOOKUP($F26,MiM_Courses!C$3:M$52,11,TRUE)-1),AD26))</f>
        <v>0</v>
      </c>
      <c r="AD26" s="4" t="b">
        <f>IF($E26="80m ",IF($D26="MiM ",VLOOKUP($F26,MiM_Courses!C$3:M$52,11,FALSE),""),FALSE)</f>
        <v>0</v>
      </c>
      <c r="AE26" s="4" t="b">
        <f>IF($E26="120m ",IF($D26="MiM ",_xlfn.IFERROR(AF26,VLOOKUP($G26,MiM_Courses!D$3:M$52,10,TRUE)-1),AF26))</f>
        <v>0</v>
      </c>
      <c r="AF26" s="4" t="b">
        <f>IF($E26="120m ",IF($D26="MiM ",VLOOKUP($G26,MiM_Courses!D$3:M$52,10,FALSE),""),FALSE)</f>
        <v>0</v>
      </c>
      <c r="AG26" s="4" t="b">
        <f>IF($E26="1000m ",IF($D26="MiM ",_xlfn.IFERROR(AH26,VLOOKUP($H26,MiM_Courses!E$3:M$52,9,TRUE)-1),AH26))</f>
        <v>0</v>
      </c>
      <c r="AH26" s="75" t="str">
        <f>IF($E26="1000m ",IF($D26="MiM ",VLOOKUP($H26,MiM_Courses!E$3:M$52,9,FALSE),""),"FAUX")</f>
        <v>FAUX</v>
      </c>
      <c r="AI26" s="75" t="b">
        <f>IF($E26="2000m ",IF($D26="MiM ",_xlfn.IFERROR(AJ26,VLOOKUP($I26,MiM_Courses!F$3:M$52,8,TRUE)-1),AJ26))</f>
        <v>0</v>
      </c>
      <c r="AJ26" s="75" t="str">
        <f>IF($E26="2000m ",IF($D26="MiM ",VLOOKUP($I26,MiM_Courses!F$3:M$52,8,FALSE),""),"FAUX")</f>
        <v>FAUX</v>
      </c>
      <c r="AK26" s="4" t="b">
        <f>IF($E26="100mH ",IF($D26="MiM ",_xlfn.IFERROR(AL26,VLOOKUP($K26,MiM_Courses!H$3:M$52,6,"VRAI")-1),AL26))</f>
        <v>0</v>
      </c>
      <c r="AL26" s="75" t="str">
        <f>IF($E26="100mH ",IF($D26="MiM ",VLOOKUP(K26,MiM_Courses!H$3:M$51,6,FALSE),""),"FAUX")</f>
        <v>FAUX</v>
      </c>
      <c r="AM26" s="75" t="str">
        <f>IF($E26="200mH ",IF($D26="MiM ",_xlfn.IFERROR(AN26,VLOOKUP($L26,MiM_Courses!I$3:M$52,5,TRUE)-1),AN26),"FAUX")</f>
        <v>FAUX</v>
      </c>
      <c r="AN26" s="75" t="str">
        <f>IF($E26="200mH ",IF($D26="MiM ",VLOOKUP($L26,MiM_Courses!I$3:M$52,5,FALSE),""),"FAUX")</f>
        <v>FAUX</v>
      </c>
      <c r="AO26" s="75" t="str">
        <f>IF($E26="3000m Marche ",IF($D26="MiM ",_xlfn.IFERROR(AP26,VLOOKUP($M26,MiM_Courses!J$3:M$52,4,TRUE)-1),AP26),"FAUX")</f>
        <v>FAUX</v>
      </c>
      <c r="AP26" s="75" t="str">
        <f>IF($E26="3000m Marche ",IF($D26="MiM ",VLOOKUP($M26,MiM_Courses!J$3:M$52,4,FALSE),""),"FAUX")</f>
        <v>FAUX</v>
      </c>
    </row>
    <row r="27" spans="1:42" ht="15">
      <c r="A27" s="60"/>
      <c r="B27" s="46"/>
      <c r="C27" s="70"/>
      <c r="D27" s="67" t="s">
        <v>189</v>
      </c>
      <c r="E27" s="37"/>
      <c r="F27" s="171"/>
      <c r="G27" s="172"/>
      <c r="H27" s="167"/>
      <c r="I27" s="167"/>
      <c r="J27" s="176"/>
      <c r="K27" s="176"/>
      <c r="L27" s="176"/>
      <c r="M27" s="167"/>
      <c r="N27" s="61">
        <f t="shared" si="0"/>
        <v>0</v>
      </c>
      <c r="O27" s="95" t="str">
        <f>IF($D27="MiF ",IF($E27="80m ",_xlfn.IFERROR(P27,VLOOKUP(F27,MiF_Courses!$C$3:$M$52,11,TRUE)-1),P27))</f>
        <v>faux</v>
      </c>
      <c r="P27" s="12" t="str">
        <f>IF($D27="MiF ",IF($E27="80m ",VLOOKUP($F27,MiF_Courses!$C$3:$M$52,11,FALSE),"faux"))</f>
        <v>faux</v>
      </c>
      <c r="Q27" s="95" t="str">
        <f>IF($D27="MiF ",IF($E27="120m ",_xlfn.IFERROR(R27,VLOOKUP($G27,MiF_Courses!D$3:M$52,10,TRUE)-1),""),R27)</f>
        <v/>
      </c>
      <c r="R27" s="32" t="str">
        <f>IF($D27="MiF ",IF($E27="120m ",VLOOKUP($G27,MiF_Courses!$D$3:$M$52,10,FALSE),""),"FAUX")</f>
        <v/>
      </c>
      <c r="S27" s="4" t="b">
        <f>IF($E27="1000m ",IF($D27="MiF ",_xlfn.IFERROR(T27,VLOOKUP(ROUNDUP($H27,1),MiF_Courses!E$3:M$52,9,TRUE)-1),T27))</f>
        <v>0</v>
      </c>
      <c r="T27" s="4" t="b">
        <f>IF($E27="1000m ",IF($D27="MiF ",VLOOKUP($H27,MiF_Courses!E$3:M$52,9,FALSE),""))</f>
        <v>0</v>
      </c>
      <c r="U27" s="4" t="str">
        <f>IF($D27="MiF ",IF($E27="2000m ",_xlfn.IFERROR(V27,VLOOKUP($I27,MiF_Courses!F$3:M$52,8,TRUE)-1),""),V27)</f>
        <v/>
      </c>
      <c r="V27" s="4" t="str">
        <f>IF($D27="MiF ",IF($E27="2000m ",VLOOKUP($I27,MiF_Courses!F$3:M$52,8,FALSE),""),"FAUX")</f>
        <v/>
      </c>
      <c r="W27" s="4" t="b">
        <f>IF($E27="80mH ",IF($D27="MiF ",_xlfn.IFERROR(X27,VLOOKUP(ROUNDUP($J27,1),MiF_Courses!H$3:M$52,6,TRUE)-1),X27))</f>
        <v>0</v>
      </c>
      <c r="X27" s="4" t="b">
        <f>IF($E27="80mH ",IF($D27="MiF ",VLOOKUP($J27,MiF_Courses!H$3:M$52,6,FALSE),""))</f>
        <v>0</v>
      </c>
      <c r="Y27" s="3" t="b">
        <f>IF($E27="200mH ",IF($D27="MiF ",_xlfn.IFERROR(Z27,VLOOKUP($L27,MiF_Courses!I$3:M$52,5,TRUE)-1),Z27))</f>
        <v>0</v>
      </c>
      <c r="Z27" s="26" t="str">
        <f>IF($E27="200mH ",IF($D27="MiF ",VLOOKUP($L27,MiF_Courses!I$3:M$52,5,FALSE),""),"FAUX")</f>
        <v>FAUX</v>
      </c>
      <c r="AA27" s="4" t="b">
        <f>IF($E27="3000m Marche ",IF($D27="MiF ",_xlfn.IFERROR(AB27,VLOOKUP($M27,MiF_Courses!J$3:M$52,4,TRUE)-1),AB27))</f>
        <v>0</v>
      </c>
      <c r="AB27" s="4" t="b">
        <f>IF($E27="3000m Marche ",IF($D27="MiF ",VLOOKUP($M27,MiF_Courses!J$3:M$52,4,FALSE),""),FALSE)</f>
        <v>0</v>
      </c>
      <c r="AC27" s="4" t="b">
        <f>IF($E27="80m ",IF($D27="MiM ",_xlfn.IFERROR(AD27,VLOOKUP($F27,MiM_Courses!C$3:M$52,11,TRUE)-1),AD27))</f>
        <v>0</v>
      </c>
      <c r="AD27" s="4" t="b">
        <f>IF($E27="80m ",IF($D27="MiM ",VLOOKUP($F27,MiM_Courses!C$3:M$52,11,FALSE),""),FALSE)</f>
        <v>0</v>
      </c>
      <c r="AE27" s="4" t="b">
        <f>IF($E27="120m ",IF($D27="MiM ",_xlfn.IFERROR(AF27,VLOOKUP($G27,MiM_Courses!D$3:M$52,10,TRUE)-1),AF27))</f>
        <v>0</v>
      </c>
      <c r="AF27" s="4" t="b">
        <f>IF($E27="120m ",IF($D27="MiM ",VLOOKUP($G27,MiM_Courses!D$3:M$52,10,FALSE),""),FALSE)</f>
        <v>0</v>
      </c>
      <c r="AG27" s="4" t="b">
        <f>IF($E27="1000m ",IF($D27="MiM ",_xlfn.IFERROR(AH27,VLOOKUP($H27,MiM_Courses!E$3:M$52,9,TRUE)-1),AH27))</f>
        <v>0</v>
      </c>
      <c r="AH27" s="75" t="str">
        <f>IF($E27="1000m ",IF($D27="MiM ",VLOOKUP($H27,MiM_Courses!E$3:M$52,9,FALSE),""),"FAUX")</f>
        <v>FAUX</v>
      </c>
      <c r="AI27" s="75" t="b">
        <f>IF($E27="2000m ",IF($D27="MiM ",_xlfn.IFERROR(AJ27,VLOOKUP($I27,MiM_Courses!F$3:M$52,8,TRUE)-1),AJ27))</f>
        <v>0</v>
      </c>
      <c r="AJ27" s="75" t="str">
        <f>IF($E27="2000m ",IF($D27="MiM ",VLOOKUP($I27,MiM_Courses!F$3:M$52,8,FALSE),""),"FAUX")</f>
        <v>FAUX</v>
      </c>
      <c r="AK27" s="4" t="b">
        <f>IF($E27="100mH ",IF($D27="MiM ",_xlfn.IFERROR(AL27,VLOOKUP($K27,MiM_Courses!H$3:M$52,6,"VRAI")-1),AL27))</f>
        <v>0</v>
      </c>
      <c r="AL27" s="75" t="str">
        <f>IF($E27="100mH ",IF($D27="MiM ",VLOOKUP(K27,MiM_Courses!H$3:M$51,6,FALSE),""),"FAUX")</f>
        <v>FAUX</v>
      </c>
      <c r="AM27" s="75" t="str">
        <f>IF($E27="200mH ",IF($D27="MiM ",_xlfn.IFERROR(AN27,VLOOKUP($L27,MiM_Courses!I$3:M$52,5,TRUE)-1),AN27),"FAUX")</f>
        <v>FAUX</v>
      </c>
      <c r="AN27" s="75" t="str">
        <f>IF($E27="200mH ",IF($D27="MiM ",VLOOKUP($L27,MiM_Courses!I$3:M$52,5,FALSE),""),"FAUX")</f>
        <v>FAUX</v>
      </c>
      <c r="AO27" s="75" t="str">
        <f>IF($E27="3000m Marche ",IF($D27="MiM ",_xlfn.IFERROR(AP27,VLOOKUP($M27,MiM_Courses!J$3:M$52,4,TRUE)-1),AP27),"FAUX")</f>
        <v>FAUX</v>
      </c>
      <c r="AP27" s="75" t="str">
        <f>IF($E27="3000m Marche ",IF($D27="MiM ",VLOOKUP($M27,MiM_Courses!J$3:M$52,4,FALSE),""),"FAUX")</f>
        <v>FAUX</v>
      </c>
    </row>
    <row r="28" spans="1:42" ht="15">
      <c r="A28" s="60"/>
      <c r="B28" s="46"/>
      <c r="C28" s="70"/>
      <c r="D28" s="67" t="s">
        <v>189</v>
      </c>
      <c r="E28" s="37"/>
      <c r="F28" s="171"/>
      <c r="G28" s="172"/>
      <c r="H28" s="167"/>
      <c r="I28" s="167"/>
      <c r="J28" s="176"/>
      <c r="K28" s="176"/>
      <c r="L28" s="176"/>
      <c r="M28" s="167"/>
      <c r="N28" s="61">
        <f t="shared" si="0"/>
        <v>0</v>
      </c>
      <c r="O28" s="95" t="str">
        <f>IF($D28="MiF ",IF($E28="80m ",_xlfn.IFERROR(P28,VLOOKUP(F28,MiF_Courses!$C$3:$M$52,11,TRUE)-1),P28))</f>
        <v>faux</v>
      </c>
      <c r="P28" s="12" t="str">
        <f>IF($D28="MiF ",IF($E28="80m ",VLOOKUP($F28,MiF_Courses!$C$3:$M$52,11,FALSE),"faux"))</f>
        <v>faux</v>
      </c>
      <c r="Q28" s="95" t="str">
        <f>IF($D28="MiF ",IF($E28="120m ",_xlfn.IFERROR(R28,VLOOKUP($G28,MiF_Courses!D$3:M$52,10,TRUE)-1),""),R28)</f>
        <v/>
      </c>
      <c r="R28" s="32" t="str">
        <f>IF($D28="MiF ",IF($E28="120m ",VLOOKUP($G28,MiF_Courses!$D$3:$M$52,10,FALSE),""),"FAUX")</f>
        <v/>
      </c>
      <c r="S28" s="4" t="b">
        <f>IF($E28="1000m ",IF($D28="MiF ",_xlfn.IFERROR(T28,VLOOKUP(ROUNDUP($H28,1),MiF_Courses!E$3:M$52,9,TRUE)-1),T28))</f>
        <v>0</v>
      </c>
      <c r="T28" s="4" t="b">
        <f>IF($E28="1000m ",IF($D28="MiF ",VLOOKUP($H28,MiF_Courses!E$3:M$52,9,FALSE),""))</f>
        <v>0</v>
      </c>
      <c r="U28" s="4" t="str">
        <f>IF($D28="MiF ",IF($E28="2000m ",_xlfn.IFERROR(V28,VLOOKUP($I28,MiF_Courses!F$3:M$52,8,TRUE)-1),""),V28)</f>
        <v/>
      </c>
      <c r="V28" s="4" t="str">
        <f>IF($D28="MiF ",IF($E28="2000m ",VLOOKUP($I28,MiF_Courses!F$3:M$52,8,FALSE),""),"FAUX")</f>
        <v/>
      </c>
      <c r="W28" s="4" t="b">
        <f>IF($E28="80mH ",IF($D28="MiF ",_xlfn.IFERROR(X28,VLOOKUP(ROUNDUP($J28,1),MiF_Courses!H$3:M$52,6,TRUE)-1),X28))</f>
        <v>0</v>
      </c>
      <c r="X28" s="4" t="b">
        <f>IF($E28="80mH ",IF($D28="MiF ",VLOOKUP($J28,MiF_Courses!H$3:M$52,6,FALSE),""))</f>
        <v>0</v>
      </c>
      <c r="Y28" s="3" t="b">
        <f>IF($E28="200mH ",IF($D28="MiF ",_xlfn.IFERROR(Z28,VLOOKUP($L28,MiF_Courses!I$3:M$52,5,TRUE)-1),Z28))</f>
        <v>0</v>
      </c>
      <c r="Z28" s="26" t="str">
        <f>IF($E28="200mH ",IF($D28="MiF ",VLOOKUP($L28,MiF_Courses!I$3:M$52,5,FALSE),""),"FAUX")</f>
        <v>FAUX</v>
      </c>
      <c r="AA28" s="4" t="b">
        <f>IF($E28="3000m Marche ",IF($D28="MiF ",_xlfn.IFERROR(AB28,VLOOKUP($M28,MiF_Courses!J$3:M$52,4,TRUE)-1),AB28))</f>
        <v>0</v>
      </c>
      <c r="AB28" s="4" t="b">
        <f>IF($E28="3000m Marche ",IF($D28="MiF ",VLOOKUP($M28,MiF_Courses!J$3:M$52,4,FALSE),""),FALSE)</f>
        <v>0</v>
      </c>
      <c r="AC28" s="4" t="b">
        <f>IF($E28="80m ",IF($D28="MiM ",_xlfn.IFERROR(AD28,VLOOKUP($F28,MiM_Courses!C$3:M$52,11,TRUE)-1),AD28))</f>
        <v>0</v>
      </c>
      <c r="AD28" s="4" t="b">
        <f>IF($E28="80m ",IF($D28="MiM ",VLOOKUP($F28,MiM_Courses!C$3:M$52,11,FALSE),""),FALSE)</f>
        <v>0</v>
      </c>
      <c r="AE28" s="4" t="b">
        <f>IF($E28="120m ",IF($D28="MiM ",_xlfn.IFERROR(AF28,VLOOKUP($G28,MiM_Courses!D$3:M$52,10,TRUE)-1),AF28))</f>
        <v>0</v>
      </c>
      <c r="AF28" s="4" t="b">
        <f>IF($E28="120m ",IF($D28="MiM ",VLOOKUP($G28,MiM_Courses!D$3:M$52,10,FALSE),""),FALSE)</f>
        <v>0</v>
      </c>
      <c r="AG28" s="4" t="b">
        <f>IF($E28="1000m ",IF($D28="MiM ",_xlfn.IFERROR(AH28,VLOOKUP($H28,MiM_Courses!E$3:M$52,9,TRUE)-1),AH28))</f>
        <v>0</v>
      </c>
      <c r="AH28" s="75" t="str">
        <f>IF($E28="1000m ",IF($D28="MiM ",VLOOKUP($H28,MiM_Courses!E$3:M$52,9,FALSE),""),"FAUX")</f>
        <v>FAUX</v>
      </c>
      <c r="AI28" s="75" t="b">
        <f>IF($E28="2000m ",IF($D28="MiM ",_xlfn.IFERROR(AJ28,VLOOKUP($I28,MiM_Courses!F$3:M$52,8,TRUE)-1),AJ28))</f>
        <v>0</v>
      </c>
      <c r="AJ28" s="75" t="str">
        <f>IF($E28="2000m ",IF($D28="MiM ",VLOOKUP($I28,MiM_Courses!F$3:M$52,8,FALSE),""),"FAUX")</f>
        <v>FAUX</v>
      </c>
      <c r="AK28" s="4" t="b">
        <f>IF($E28="100mH ",IF($D28="MiM ",_xlfn.IFERROR(AL28,VLOOKUP($K28,MiM_Courses!H$3:M$52,6,"VRAI")-1),AL28))</f>
        <v>0</v>
      </c>
      <c r="AL28" s="75" t="str">
        <f>IF($E28="100mH ",IF($D28="MiM ",VLOOKUP(K28,MiM_Courses!H$3:M$51,6,FALSE),""),"FAUX")</f>
        <v>FAUX</v>
      </c>
      <c r="AM28" s="75" t="str">
        <f>IF($E28="200mH ",IF($D28="MiM ",_xlfn.IFERROR(AN28,VLOOKUP($L28,MiM_Courses!I$3:M$52,5,TRUE)-1),AN28),"FAUX")</f>
        <v>FAUX</v>
      </c>
      <c r="AN28" s="75" t="str">
        <f>IF($E28="200mH ",IF($D28="MiM ",VLOOKUP($L28,MiM_Courses!I$3:M$52,5,FALSE),""),"FAUX")</f>
        <v>FAUX</v>
      </c>
      <c r="AO28" s="75" t="str">
        <f>IF($E28="3000m Marche ",IF($D28="MiM ",_xlfn.IFERROR(AP28,VLOOKUP($M28,MiM_Courses!J$3:M$52,4,TRUE)-1),AP28),"FAUX")</f>
        <v>FAUX</v>
      </c>
      <c r="AP28" s="75" t="str">
        <f>IF($E28="3000m Marche ",IF($D28="MiM ",VLOOKUP($M28,MiM_Courses!J$3:M$52,4,FALSE),""),"FAUX")</f>
        <v>FAUX</v>
      </c>
    </row>
    <row r="29" spans="1:42" ht="15">
      <c r="A29" s="60"/>
      <c r="B29" s="46"/>
      <c r="C29" s="70"/>
      <c r="D29" s="67" t="s">
        <v>189</v>
      </c>
      <c r="E29" s="37"/>
      <c r="F29" s="171"/>
      <c r="G29" s="172"/>
      <c r="H29" s="167"/>
      <c r="I29" s="167"/>
      <c r="J29" s="176"/>
      <c r="K29" s="176"/>
      <c r="L29" s="176"/>
      <c r="M29" s="167"/>
      <c r="N29" s="61">
        <f t="shared" si="0"/>
        <v>0</v>
      </c>
      <c r="O29" s="95" t="str">
        <f>IF($D29="MiF ",IF($E29="80m ",_xlfn.IFERROR(P29,VLOOKUP(F29,MiF_Courses!$C$3:$M$52,11,TRUE)-1),P29))</f>
        <v>faux</v>
      </c>
      <c r="P29" s="12" t="str">
        <f>IF($D29="MiF ",IF($E29="80m ",VLOOKUP($F29,MiF_Courses!$C$3:$M$52,11,FALSE),"faux"))</f>
        <v>faux</v>
      </c>
      <c r="Q29" s="95" t="str">
        <f>IF($D29="MiF ",IF($E29="120m ",_xlfn.IFERROR(R29,VLOOKUP($G29,MiF_Courses!D$3:M$52,10,TRUE)-1),""),R29)</f>
        <v/>
      </c>
      <c r="R29" s="32" t="str">
        <f>IF($D29="MiF ",IF($E29="120m ",VLOOKUP($G29,MiF_Courses!$D$3:$M$52,10,FALSE),""),"FAUX")</f>
        <v/>
      </c>
      <c r="S29" s="4" t="b">
        <f>IF($E29="1000m ",IF($D29="MiF ",_xlfn.IFERROR(T29,VLOOKUP(ROUNDUP($H29,1),MiF_Courses!E$3:M$52,9,TRUE)-1),T29))</f>
        <v>0</v>
      </c>
      <c r="T29" s="4" t="b">
        <f>IF($E29="1000m ",IF($D29="MiF ",VLOOKUP($H29,MiF_Courses!E$3:M$52,9,FALSE),""))</f>
        <v>0</v>
      </c>
      <c r="U29" s="4" t="str">
        <f>IF($D29="MiF ",IF($E29="2000m ",_xlfn.IFERROR(V29,VLOOKUP($I29,MiF_Courses!F$3:M$52,8,TRUE)-1),""),V29)</f>
        <v/>
      </c>
      <c r="V29" s="4" t="str">
        <f>IF($D29="MiF ",IF($E29="2000m ",VLOOKUP($I29,MiF_Courses!F$3:M$52,8,FALSE),""),"FAUX")</f>
        <v/>
      </c>
      <c r="W29" s="4" t="b">
        <f>IF($E29="80mH ",IF($D29="MiF ",_xlfn.IFERROR(X29,VLOOKUP(ROUNDUP($J29,1),MiF_Courses!H$3:M$52,6,TRUE)-1),X29))</f>
        <v>0</v>
      </c>
      <c r="X29" s="4" t="b">
        <f>IF($E29="80mH ",IF($D29="MiF ",VLOOKUP($J29,MiF_Courses!H$3:M$52,6,FALSE),""))</f>
        <v>0</v>
      </c>
      <c r="Y29" s="3" t="b">
        <f>IF($E29="200mH ",IF($D29="MiF ",_xlfn.IFERROR(Z29,VLOOKUP($L29,MiF_Courses!I$3:M$52,5,TRUE)-1),Z29))</f>
        <v>0</v>
      </c>
      <c r="Z29" s="26" t="str">
        <f>IF($E29="200mH ",IF($D29="MiF ",VLOOKUP($L29,MiF_Courses!I$3:M$52,5,FALSE),""),"FAUX")</f>
        <v>FAUX</v>
      </c>
      <c r="AA29" s="4" t="b">
        <f>IF($E29="3000m Marche ",IF($D29="MiF ",_xlfn.IFERROR(AB29,VLOOKUP($M29,MiF_Courses!J$3:M$52,4,TRUE)-1),AB29))</f>
        <v>0</v>
      </c>
      <c r="AB29" s="4" t="b">
        <f>IF($E29="3000m Marche ",IF($D29="MiF ",VLOOKUP($M29,MiF_Courses!J$3:M$52,4,FALSE),""),FALSE)</f>
        <v>0</v>
      </c>
      <c r="AC29" s="4" t="b">
        <f>IF($E29="80m ",IF($D29="MiM ",_xlfn.IFERROR(AD29,VLOOKUP($F29,MiM_Courses!C$3:M$52,11,TRUE)-1),AD29))</f>
        <v>0</v>
      </c>
      <c r="AD29" s="4" t="b">
        <f>IF($E29="80m ",IF($D29="MiM ",VLOOKUP($F29,MiM_Courses!C$3:M$52,11,FALSE),""),FALSE)</f>
        <v>0</v>
      </c>
      <c r="AE29" s="4" t="b">
        <f>IF($E29="120m ",IF($D29="MiM ",_xlfn.IFERROR(AF29,VLOOKUP($G29,MiM_Courses!D$3:M$52,10,TRUE)-1),AF29))</f>
        <v>0</v>
      </c>
      <c r="AF29" s="4" t="b">
        <f>IF($E29="120m ",IF($D29="MiM ",VLOOKUP($G29,MiM_Courses!D$3:M$52,10,FALSE),""),FALSE)</f>
        <v>0</v>
      </c>
      <c r="AG29" s="4" t="b">
        <f>IF($E29="1000m ",IF($D29="MiM ",_xlfn.IFERROR(AH29,VLOOKUP($H29,MiM_Courses!E$3:M$52,9,TRUE)-1),AH29))</f>
        <v>0</v>
      </c>
      <c r="AH29" s="75" t="str">
        <f>IF($E29="1000m ",IF($D29="MiM ",VLOOKUP($H29,MiM_Courses!E$3:M$52,9,FALSE),""),"FAUX")</f>
        <v>FAUX</v>
      </c>
      <c r="AI29" s="75" t="b">
        <f>IF($E29="2000m ",IF($D29="MiM ",_xlfn.IFERROR(AJ29,VLOOKUP($I29,MiM_Courses!F$3:M$52,8,TRUE)-1),AJ29))</f>
        <v>0</v>
      </c>
      <c r="AJ29" s="75" t="str">
        <f>IF($E29="2000m ",IF($D29="MiM ",VLOOKUP($I29,MiM_Courses!F$3:M$52,8,FALSE),""),"FAUX")</f>
        <v>FAUX</v>
      </c>
      <c r="AK29" s="4" t="b">
        <f>IF($E29="100mH ",IF($D29="MiM ",_xlfn.IFERROR(AL29,VLOOKUP($K29,MiM_Courses!H$3:M$52,6,"VRAI")-1),AL29))</f>
        <v>0</v>
      </c>
      <c r="AL29" s="75" t="str">
        <f>IF($E29="100mH ",IF($D29="MiM ",VLOOKUP(K29,MiM_Courses!H$3:M$51,6,FALSE),""),"FAUX")</f>
        <v>FAUX</v>
      </c>
      <c r="AM29" s="75" t="str">
        <f>IF($E29="200mH ",IF($D29="MiM ",_xlfn.IFERROR(AN29,VLOOKUP($L29,MiM_Courses!I$3:M$52,5,TRUE)-1),AN29),"FAUX")</f>
        <v>FAUX</v>
      </c>
      <c r="AN29" s="75" t="str">
        <f>IF($E29="200mH ",IF($D29="MiM ",VLOOKUP($L29,MiM_Courses!I$3:M$52,5,FALSE),""),"FAUX")</f>
        <v>FAUX</v>
      </c>
      <c r="AO29" s="75" t="str">
        <f>IF($E29="3000m Marche ",IF($D29="MiM ",_xlfn.IFERROR(AP29,VLOOKUP($M29,MiM_Courses!J$3:M$52,4,TRUE)-1),AP29),"FAUX")</f>
        <v>FAUX</v>
      </c>
      <c r="AP29" s="75" t="str">
        <f>IF($E29="3000m Marche ",IF($D29="MiM ",VLOOKUP($M29,MiM_Courses!J$3:M$52,4,FALSE),""),"FAUX")</f>
        <v>FAUX</v>
      </c>
    </row>
    <row r="30" spans="1:42" ht="15">
      <c r="A30" s="60"/>
      <c r="B30" s="46"/>
      <c r="C30" s="70"/>
      <c r="D30" s="67" t="s">
        <v>189</v>
      </c>
      <c r="E30" s="37"/>
      <c r="F30" s="171"/>
      <c r="G30" s="172"/>
      <c r="H30" s="167"/>
      <c r="I30" s="167"/>
      <c r="J30" s="176"/>
      <c r="K30" s="176"/>
      <c r="L30" s="176"/>
      <c r="M30" s="167"/>
      <c r="N30" s="61">
        <f t="shared" si="0"/>
        <v>0</v>
      </c>
      <c r="O30" s="95" t="str">
        <f>IF($D30="MiF ",IF($E30="80m ",_xlfn.IFERROR(P30,VLOOKUP(F30,MiF_Courses!$C$3:$M$52,11,TRUE)-1),P30))</f>
        <v>faux</v>
      </c>
      <c r="P30" s="12" t="str">
        <f>IF($D30="MiF ",IF($E30="80m ",VLOOKUP($F30,MiF_Courses!$C$3:$M$52,11,FALSE),"faux"))</f>
        <v>faux</v>
      </c>
      <c r="Q30" s="95" t="str">
        <f>IF($D30="MiF ",IF($E30="120m ",_xlfn.IFERROR(R30,VLOOKUP($G30,MiF_Courses!D$3:M$52,10,TRUE)-1),""),R30)</f>
        <v/>
      </c>
      <c r="R30" s="32" t="str">
        <f>IF($D30="MiF ",IF($E30="120m ",VLOOKUP($G30,MiF_Courses!$D$3:$M$52,10,FALSE),""),"FAUX")</f>
        <v/>
      </c>
      <c r="S30" s="4" t="b">
        <f>IF($E30="1000m ",IF($D30="MiF ",_xlfn.IFERROR(T30,VLOOKUP(ROUNDUP($H30,1),MiF_Courses!E$3:M$52,9,TRUE)-1),T30))</f>
        <v>0</v>
      </c>
      <c r="T30" s="4" t="b">
        <f>IF($E30="1000m ",IF($D30="MiF ",VLOOKUP($H30,MiF_Courses!E$3:M$52,9,FALSE),""))</f>
        <v>0</v>
      </c>
      <c r="U30" s="4" t="str">
        <f>IF($D30="MiF ",IF($E30="2000m ",_xlfn.IFERROR(V30,VLOOKUP($I30,MiF_Courses!F$3:M$52,8,TRUE)-1),""),V30)</f>
        <v/>
      </c>
      <c r="V30" s="4" t="str">
        <f>IF($D30="MiF ",IF($E30="2000m ",VLOOKUP($I30,MiF_Courses!F$3:M$52,8,FALSE),""),"FAUX")</f>
        <v/>
      </c>
      <c r="W30" s="4" t="b">
        <f>IF($E30="80mH ",IF($D30="MiF ",_xlfn.IFERROR(X30,VLOOKUP(ROUNDUP($J30,1),MiF_Courses!H$3:M$52,6,TRUE)-1),X30))</f>
        <v>0</v>
      </c>
      <c r="X30" s="4" t="b">
        <f>IF($E30="80mH ",IF($D30="MiF ",VLOOKUP($J30,MiF_Courses!H$3:M$52,6,FALSE),""))</f>
        <v>0</v>
      </c>
      <c r="Y30" s="3" t="b">
        <f>IF($E30="200mH ",IF($D30="MiF ",_xlfn.IFERROR(Z30,VLOOKUP($L30,MiF_Courses!I$3:M$52,5,TRUE)-1),Z30))</f>
        <v>0</v>
      </c>
      <c r="Z30" s="26" t="str">
        <f>IF($E30="200mH ",IF($D30="MiF ",VLOOKUP($L30,MiF_Courses!I$3:M$52,5,FALSE),""),"FAUX")</f>
        <v>FAUX</v>
      </c>
      <c r="AA30" s="4" t="b">
        <f>IF($E30="3000m Marche ",IF($D30="MiF ",_xlfn.IFERROR(AB30,VLOOKUP($M30,MiF_Courses!J$3:M$52,4,TRUE)-1),AB30))</f>
        <v>0</v>
      </c>
      <c r="AB30" s="4" t="b">
        <f>IF($E30="3000m Marche ",IF($D30="MiF ",VLOOKUP($M30,MiF_Courses!J$3:M$52,4,FALSE),""),FALSE)</f>
        <v>0</v>
      </c>
      <c r="AC30" s="4" t="b">
        <f>IF($E30="80m ",IF($D30="MiM ",_xlfn.IFERROR(AD30,VLOOKUP($F30,MiM_Courses!C$3:M$52,11,TRUE)-1),AD30))</f>
        <v>0</v>
      </c>
      <c r="AD30" s="4" t="b">
        <f>IF($E30="80m ",IF($D30="MiM ",VLOOKUP($F30,MiM_Courses!C$3:M$52,11,FALSE),""),FALSE)</f>
        <v>0</v>
      </c>
      <c r="AE30" s="4" t="b">
        <f>IF($E30="120m ",IF($D30="MiM ",_xlfn.IFERROR(AF30,VLOOKUP($G30,MiM_Courses!D$3:M$52,10,TRUE)-1),AF30))</f>
        <v>0</v>
      </c>
      <c r="AF30" s="4" t="b">
        <f>IF($E30="120m ",IF($D30="MiM ",VLOOKUP($G30,MiM_Courses!D$3:M$52,10,FALSE),""),FALSE)</f>
        <v>0</v>
      </c>
      <c r="AG30" s="4" t="b">
        <f>IF($E30="1000m ",IF($D30="MiM ",_xlfn.IFERROR(AH30,VLOOKUP($H30,MiM_Courses!E$3:M$52,9,TRUE)-1),AH30))</f>
        <v>0</v>
      </c>
      <c r="AH30" s="75" t="str">
        <f>IF($E30="1000m ",IF($D30="MiM ",VLOOKUP($H30,MiM_Courses!E$3:M$52,9,FALSE),""),"FAUX")</f>
        <v>FAUX</v>
      </c>
      <c r="AI30" s="75" t="b">
        <f>IF($E30="2000m ",IF($D30="MiM ",_xlfn.IFERROR(AJ30,VLOOKUP($I30,MiM_Courses!F$3:M$52,8,TRUE)-1),AJ30))</f>
        <v>0</v>
      </c>
      <c r="AJ30" s="75" t="str">
        <f>IF($E30="2000m ",IF($D30="MiM ",VLOOKUP($I30,MiM_Courses!F$3:M$52,8,FALSE),""),"FAUX")</f>
        <v>FAUX</v>
      </c>
      <c r="AK30" s="4" t="b">
        <f>IF($E30="100mH ",IF($D30="MiM ",_xlfn.IFERROR(AL30,VLOOKUP($K30,MiM_Courses!H$3:M$52,6,"VRAI")-1),AL30))</f>
        <v>0</v>
      </c>
      <c r="AL30" s="75" t="str">
        <f>IF($E30="100mH ",IF($D30="MiM ",VLOOKUP(K30,MiM_Courses!H$3:M$51,6,FALSE),""),"FAUX")</f>
        <v>FAUX</v>
      </c>
      <c r="AM30" s="75" t="str">
        <f>IF($E30="200mH ",IF($D30="MiM ",_xlfn.IFERROR(AN30,VLOOKUP($L30,MiM_Courses!I$3:M$52,5,TRUE)-1),AN30),"FAUX")</f>
        <v>FAUX</v>
      </c>
      <c r="AN30" s="75" t="str">
        <f>IF($E30="200mH ",IF($D30="MiM ",VLOOKUP($L30,MiM_Courses!I$3:M$52,5,FALSE),""),"FAUX")</f>
        <v>FAUX</v>
      </c>
      <c r="AO30" s="75" t="str">
        <f>IF($E30="3000m Marche ",IF($D30="MiM ",_xlfn.IFERROR(AP30,VLOOKUP($M30,MiM_Courses!J$3:M$52,4,TRUE)-1),AP30),"FAUX")</f>
        <v>FAUX</v>
      </c>
      <c r="AP30" s="75" t="str">
        <f>IF($E30="3000m Marche ",IF($D30="MiM ",VLOOKUP($M30,MiM_Courses!J$3:M$52,4,FALSE),""),"FAUX")</f>
        <v>FAUX</v>
      </c>
    </row>
    <row r="31" spans="1:42" ht="15">
      <c r="A31" s="60"/>
      <c r="B31" s="46"/>
      <c r="C31" s="70"/>
      <c r="D31" s="67" t="s">
        <v>189</v>
      </c>
      <c r="E31" s="37"/>
      <c r="F31" s="171"/>
      <c r="G31" s="172"/>
      <c r="H31" s="167"/>
      <c r="I31" s="167"/>
      <c r="J31" s="176"/>
      <c r="K31" s="176"/>
      <c r="L31" s="176"/>
      <c r="M31" s="167"/>
      <c r="N31" s="61">
        <f t="shared" si="0"/>
        <v>0</v>
      </c>
      <c r="O31" s="95" t="str">
        <f>IF($D31="MiF ",IF($E31="80m ",_xlfn.IFERROR(P31,VLOOKUP(F31,MiF_Courses!$C$3:$M$52,11,TRUE)-1),P31))</f>
        <v>faux</v>
      </c>
      <c r="P31" s="12" t="str">
        <f>IF($D31="MiF ",IF($E31="80m ",VLOOKUP($F31,MiF_Courses!$C$3:$M$52,11,FALSE),"faux"))</f>
        <v>faux</v>
      </c>
      <c r="Q31" s="95" t="str">
        <f>IF($D31="MiF ",IF($E31="120m ",_xlfn.IFERROR(R31,VLOOKUP($G31,MiF_Courses!D$3:M$52,10,TRUE)-1),""),R31)</f>
        <v/>
      </c>
      <c r="R31" s="32" t="str">
        <f>IF($D31="MiF ",IF($E31="120m ",VLOOKUP($G31,MiF_Courses!$D$3:$M$52,10,FALSE),""),"FAUX")</f>
        <v/>
      </c>
      <c r="S31" s="4" t="b">
        <f>IF($E31="1000m ",IF($D31="MiF ",_xlfn.IFERROR(T31,VLOOKUP(ROUNDUP($H31,1),MiF_Courses!E$3:M$52,9,TRUE)-1),T31))</f>
        <v>0</v>
      </c>
      <c r="T31" s="4" t="b">
        <f>IF($E31="1000m ",IF($D31="MiF ",VLOOKUP($H31,MiF_Courses!E$3:M$52,9,FALSE),""))</f>
        <v>0</v>
      </c>
      <c r="U31" s="4" t="str">
        <f>IF($D31="MiF ",IF($E31="2000m ",_xlfn.IFERROR(V31,VLOOKUP($I31,MiF_Courses!F$3:M$52,8,TRUE)-1),""),V31)</f>
        <v/>
      </c>
      <c r="V31" s="4" t="str">
        <f>IF($D31="MiF ",IF($E31="2000m ",VLOOKUP($I31,MiF_Courses!F$3:M$52,8,FALSE),""),"FAUX")</f>
        <v/>
      </c>
      <c r="W31" s="4" t="b">
        <f>IF($E31="80mH ",IF($D31="MiF ",_xlfn.IFERROR(X31,VLOOKUP(ROUNDUP($J31,1),MiF_Courses!H$3:M$52,6,TRUE)-1),X31))</f>
        <v>0</v>
      </c>
      <c r="X31" s="4" t="b">
        <f>IF($E31="80mH ",IF($D31="MiF ",VLOOKUP($J31,MiF_Courses!H$3:M$52,6,FALSE),""))</f>
        <v>0</v>
      </c>
      <c r="Y31" s="3" t="b">
        <f>IF($E31="200mH ",IF($D31="MiF ",_xlfn.IFERROR(Z31,VLOOKUP($L31,MiF_Courses!I$3:M$52,5,TRUE)-1),Z31))</f>
        <v>0</v>
      </c>
      <c r="Z31" s="26" t="str">
        <f>IF($E31="200mH ",IF($D31="MiF ",VLOOKUP($L31,MiF_Courses!I$3:M$52,5,FALSE),""),"FAUX")</f>
        <v>FAUX</v>
      </c>
      <c r="AA31" s="4" t="b">
        <f>IF($E31="3000m Marche ",IF($D31="MiF ",_xlfn.IFERROR(AB31,VLOOKUP($M31,MiF_Courses!J$3:M$52,4,TRUE)-1),AB31))</f>
        <v>0</v>
      </c>
      <c r="AB31" s="4" t="b">
        <f>IF($E31="3000m Marche ",IF($D31="MiF ",VLOOKUP($M31,MiF_Courses!J$3:M$52,4,FALSE),""),FALSE)</f>
        <v>0</v>
      </c>
      <c r="AC31" s="4" t="b">
        <f>IF($E31="80m ",IF($D31="MiM ",_xlfn.IFERROR(AD31,VLOOKUP($F31,MiM_Courses!C$3:M$52,11,TRUE)-1),AD31))</f>
        <v>0</v>
      </c>
      <c r="AD31" s="4" t="b">
        <f>IF($E31="80m ",IF($D31="MiM ",VLOOKUP($F31,MiM_Courses!C$3:M$52,11,FALSE),""),FALSE)</f>
        <v>0</v>
      </c>
      <c r="AE31" s="4" t="b">
        <f>IF($E31="120m ",IF($D31="MiM ",_xlfn.IFERROR(AF31,VLOOKUP($G31,MiM_Courses!D$3:M$52,10,TRUE)-1),AF31))</f>
        <v>0</v>
      </c>
      <c r="AF31" s="4" t="b">
        <f>IF($E31="120m ",IF($D31="MiM ",VLOOKUP($G31,MiM_Courses!D$3:M$52,10,FALSE),""),FALSE)</f>
        <v>0</v>
      </c>
      <c r="AG31" s="4" t="b">
        <f>IF($E31="1000m ",IF($D31="MiM ",_xlfn.IFERROR(AH31,VLOOKUP($H31,MiM_Courses!E$3:M$52,9,TRUE)-1),AH31))</f>
        <v>0</v>
      </c>
      <c r="AH31" s="75" t="str">
        <f>IF($E31="1000m ",IF($D31="MiM ",VLOOKUP($H31,MiM_Courses!E$3:M$52,9,FALSE),""),"FAUX")</f>
        <v>FAUX</v>
      </c>
      <c r="AI31" s="75" t="b">
        <f>IF($E31="2000m ",IF($D31="MiM ",_xlfn.IFERROR(AJ31,VLOOKUP($I31,MiM_Courses!F$3:M$52,8,TRUE)-1),AJ31))</f>
        <v>0</v>
      </c>
      <c r="AJ31" s="75" t="str">
        <f>IF($E31="2000m ",IF($D31="MiM ",VLOOKUP($I31,MiM_Courses!F$3:M$52,8,FALSE),""),"FAUX")</f>
        <v>FAUX</v>
      </c>
      <c r="AK31" s="4" t="b">
        <f>IF($E31="100mH ",IF($D31="MiM ",_xlfn.IFERROR(AL31,VLOOKUP($K31,MiM_Courses!H$3:M$52,6,"VRAI")-1),AL31))</f>
        <v>0</v>
      </c>
      <c r="AL31" s="75" t="str">
        <f>IF($E31="100mH ",IF($D31="MiM ",VLOOKUP(K31,MiM_Courses!H$3:M$51,6,FALSE),""),"FAUX")</f>
        <v>FAUX</v>
      </c>
      <c r="AM31" s="75" t="str">
        <f>IF($E31="200mH ",IF($D31="MiM ",_xlfn.IFERROR(AN31,VLOOKUP($L31,MiM_Courses!I$3:M$52,5,TRUE)-1),AN31),"FAUX")</f>
        <v>FAUX</v>
      </c>
      <c r="AN31" s="75" t="str">
        <f>IF($E31="200mH ",IF($D31="MiM ",VLOOKUP($L31,MiM_Courses!I$3:M$52,5,FALSE),""),"FAUX")</f>
        <v>FAUX</v>
      </c>
      <c r="AO31" s="75" t="str">
        <f>IF($E31="3000m Marche ",IF($D31="MiM ",_xlfn.IFERROR(AP31,VLOOKUP($M31,MiM_Courses!J$3:M$52,4,TRUE)-1),AP31),"FAUX")</f>
        <v>FAUX</v>
      </c>
      <c r="AP31" s="75" t="str">
        <f>IF($E31="3000m Marche ",IF($D31="MiM ",VLOOKUP($M31,MiM_Courses!J$3:M$52,4,FALSE),""),"FAUX")</f>
        <v>FAUX</v>
      </c>
    </row>
    <row r="32" spans="1:42" ht="15">
      <c r="A32" s="60"/>
      <c r="B32" s="46"/>
      <c r="C32" s="70"/>
      <c r="D32" s="67" t="s">
        <v>189</v>
      </c>
      <c r="E32" s="37"/>
      <c r="F32" s="171"/>
      <c r="G32" s="172"/>
      <c r="H32" s="167"/>
      <c r="I32" s="167"/>
      <c r="J32" s="176"/>
      <c r="K32" s="176"/>
      <c r="L32" s="176"/>
      <c r="M32" s="167"/>
      <c r="N32" s="61">
        <f t="shared" si="0"/>
        <v>0</v>
      </c>
      <c r="O32" s="95" t="str">
        <f>IF($D32="MiF ",IF($E32="80m ",_xlfn.IFERROR(P32,VLOOKUP(F32,MiF_Courses!$C$3:$M$52,11,TRUE)-1),P32))</f>
        <v>faux</v>
      </c>
      <c r="P32" s="12" t="str">
        <f>IF($D32="MiF ",IF($E32="80m ",VLOOKUP($F32,MiF_Courses!$C$3:$M$52,11,FALSE),"faux"))</f>
        <v>faux</v>
      </c>
      <c r="Q32" s="95" t="str">
        <f>IF($D32="MiF ",IF($E32="120m ",_xlfn.IFERROR(R32,VLOOKUP($G32,MiF_Courses!D$3:M$52,10,TRUE)-1),""),R32)</f>
        <v/>
      </c>
      <c r="R32" s="32" t="str">
        <f>IF($D32="MiF ",IF($E32="120m ",VLOOKUP($G32,MiF_Courses!$D$3:$M$52,10,FALSE),""),"FAUX")</f>
        <v/>
      </c>
      <c r="S32" s="4" t="b">
        <f>IF($E32="1000m ",IF($D32="MiF ",_xlfn.IFERROR(T32,VLOOKUP(ROUNDUP($H32,1),MiF_Courses!E$3:M$52,9,TRUE)-1),T32))</f>
        <v>0</v>
      </c>
      <c r="T32" s="4" t="b">
        <f>IF($E32="1000m ",IF($D32="MiF ",VLOOKUP($H32,MiF_Courses!E$3:M$52,9,FALSE),""))</f>
        <v>0</v>
      </c>
      <c r="U32" s="4" t="str">
        <f>IF($D32="MiF ",IF($E32="2000m ",_xlfn.IFERROR(V32,VLOOKUP($I32,MiF_Courses!F$3:M$52,8,TRUE)-1),""),V32)</f>
        <v/>
      </c>
      <c r="V32" s="4" t="str">
        <f>IF($D32="MiF ",IF($E32="2000m ",VLOOKUP($I32,MiF_Courses!F$3:M$52,8,FALSE),""),"FAUX")</f>
        <v/>
      </c>
      <c r="W32" s="4" t="b">
        <f>IF($E32="80mH ",IF($D32="MiF ",_xlfn.IFERROR(X32,VLOOKUP(ROUNDUP($J32,1),MiF_Courses!H$3:M$52,6,TRUE)-1),X32))</f>
        <v>0</v>
      </c>
      <c r="X32" s="4" t="b">
        <f>IF($E32="80mH ",IF($D32="MiF ",VLOOKUP($J32,MiF_Courses!H$3:M$52,6,FALSE),""))</f>
        <v>0</v>
      </c>
      <c r="Y32" s="3" t="b">
        <f>IF($E32="200mH ",IF($D32="MiF ",_xlfn.IFERROR(Z32,VLOOKUP($L32,MiF_Courses!I$3:M$52,5,TRUE)-1),Z32))</f>
        <v>0</v>
      </c>
      <c r="Z32" s="26" t="str">
        <f>IF($E32="200mH ",IF($D32="MiF ",VLOOKUP($L32,MiF_Courses!I$3:M$52,5,FALSE),""),"FAUX")</f>
        <v>FAUX</v>
      </c>
      <c r="AA32" s="4" t="b">
        <f>IF($E32="3000m Marche ",IF($D32="MiF ",_xlfn.IFERROR(AB32,VLOOKUP($M32,MiF_Courses!J$3:M$52,4,TRUE)-1),AB32))</f>
        <v>0</v>
      </c>
      <c r="AB32" s="4" t="b">
        <f>IF($E32="3000m Marche ",IF($D32="MiF ",VLOOKUP($M32,MiF_Courses!J$3:M$52,4,FALSE),""),FALSE)</f>
        <v>0</v>
      </c>
      <c r="AC32" s="4" t="b">
        <f>IF($E32="80m ",IF($D32="MiM ",_xlfn.IFERROR(AD32,VLOOKUP($F32,MiM_Courses!C$3:M$52,11,TRUE)-1),AD32))</f>
        <v>0</v>
      </c>
      <c r="AD32" s="4" t="b">
        <f>IF($E32="80m ",IF($D32="MiM ",VLOOKUP($F32,MiM_Courses!C$3:M$52,11,FALSE),""),FALSE)</f>
        <v>0</v>
      </c>
      <c r="AE32" s="4" t="b">
        <f>IF($E32="120m ",IF($D32="MiM ",_xlfn.IFERROR(AF32,VLOOKUP($G32,MiM_Courses!D$3:M$52,10,TRUE)-1),AF32))</f>
        <v>0</v>
      </c>
      <c r="AF32" s="4" t="b">
        <f>IF($E32="120m ",IF($D32="MiM ",VLOOKUP($G32,MiM_Courses!D$3:M$52,10,FALSE),""),FALSE)</f>
        <v>0</v>
      </c>
      <c r="AG32" s="4" t="b">
        <f>IF($E32="1000m ",IF($D32="MiM ",_xlfn.IFERROR(AH32,VLOOKUP($H32,MiM_Courses!E$3:M$52,9,TRUE)-1),AH32))</f>
        <v>0</v>
      </c>
      <c r="AH32" s="75" t="str">
        <f>IF($E32="1000m ",IF($D32="MiM ",VLOOKUP($H32,MiM_Courses!E$3:M$52,9,FALSE),""),"FAUX")</f>
        <v>FAUX</v>
      </c>
      <c r="AI32" s="75" t="b">
        <f>IF($E32="2000m ",IF($D32="MiM ",_xlfn.IFERROR(AJ32,VLOOKUP($I32,MiM_Courses!F$3:M$52,8,TRUE)-1),AJ32))</f>
        <v>0</v>
      </c>
      <c r="AJ32" s="75" t="str">
        <f>IF($E32="2000m ",IF($D32="MiM ",VLOOKUP($I32,MiM_Courses!F$3:M$52,8,FALSE),""),"FAUX")</f>
        <v>FAUX</v>
      </c>
      <c r="AK32" s="4" t="b">
        <f>IF($E32="100mH ",IF($D32="MiM ",_xlfn.IFERROR(AL32,VLOOKUP($K32,MiM_Courses!H$3:M$52,6,"VRAI")-1),AL32))</f>
        <v>0</v>
      </c>
      <c r="AL32" s="75" t="str">
        <f>IF($E32="100mH ",IF($D32="MiM ",VLOOKUP(K32,MiM_Courses!H$3:M$51,6,FALSE),""),"FAUX")</f>
        <v>FAUX</v>
      </c>
      <c r="AM32" s="75" t="str">
        <f>IF($E32="200mH ",IF($D32="MiM ",_xlfn.IFERROR(AN32,VLOOKUP($L32,MiM_Courses!I$3:M$52,5,TRUE)-1),AN32),"FAUX")</f>
        <v>FAUX</v>
      </c>
      <c r="AN32" s="75" t="str">
        <f>IF($E32="200mH ",IF($D32="MiM ",VLOOKUP($L32,MiM_Courses!I$3:M$52,5,FALSE),""),"FAUX")</f>
        <v>FAUX</v>
      </c>
      <c r="AO32" s="75" t="str">
        <f>IF($E32="3000m Marche ",IF($D32="MiM ",_xlfn.IFERROR(AP32,VLOOKUP($M32,MiM_Courses!J$3:M$52,4,TRUE)-1),AP32),"FAUX")</f>
        <v>FAUX</v>
      </c>
      <c r="AP32" s="75" t="str">
        <f>IF($E32="3000m Marche ",IF($D32="MiM ",VLOOKUP($M32,MiM_Courses!J$3:M$52,4,FALSE),""),"FAUX")</f>
        <v>FAUX</v>
      </c>
    </row>
    <row r="33" spans="1:42" ht="15">
      <c r="A33" s="60"/>
      <c r="B33" s="46"/>
      <c r="C33" s="70"/>
      <c r="D33" s="67" t="s">
        <v>189</v>
      </c>
      <c r="E33" s="37"/>
      <c r="F33" s="171"/>
      <c r="G33" s="172"/>
      <c r="H33" s="167"/>
      <c r="I33" s="167"/>
      <c r="J33" s="176"/>
      <c r="K33" s="176"/>
      <c r="L33" s="176"/>
      <c r="M33" s="167"/>
      <c r="N33" s="61">
        <f t="shared" si="0"/>
        <v>0</v>
      </c>
      <c r="O33" s="95" t="str">
        <f>IF($D33="MiF ",IF($E33="80m ",_xlfn.IFERROR(P33,VLOOKUP(F33,MiF_Courses!$C$3:$M$52,11,TRUE)-1),P33))</f>
        <v>faux</v>
      </c>
      <c r="P33" s="12" t="str">
        <f>IF($D33="MiF ",IF($E33="80m ",VLOOKUP($F33,MiF_Courses!$C$3:$M$52,11,FALSE),"faux"))</f>
        <v>faux</v>
      </c>
      <c r="Q33" s="95" t="str">
        <f>IF($D33="MiF ",IF($E33="120m ",_xlfn.IFERROR(R33,VLOOKUP($G33,MiF_Courses!D$3:M$52,10,TRUE)-1),""),R33)</f>
        <v/>
      </c>
      <c r="R33" s="32" t="str">
        <f>IF($D33="MiF ",IF($E33="120m ",VLOOKUP($G33,MiF_Courses!$D$3:$M$52,10,FALSE),""),"FAUX")</f>
        <v/>
      </c>
      <c r="S33" s="4" t="b">
        <f>IF($E33="1000m ",IF($D33="MiF ",_xlfn.IFERROR(T33,VLOOKUP(ROUNDUP($H33,1),MiF_Courses!E$3:M$52,9,TRUE)-1),T33))</f>
        <v>0</v>
      </c>
      <c r="T33" s="4" t="b">
        <f>IF($E33="1000m ",IF($D33="MiF ",VLOOKUP($H33,MiF_Courses!E$3:M$52,9,FALSE),""))</f>
        <v>0</v>
      </c>
      <c r="U33" s="4" t="str">
        <f>IF($D33="MiF ",IF($E33="2000m ",_xlfn.IFERROR(V33,VLOOKUP($I33,MiF_Courses!F$3:M$52,8,TRUE)-1),""),V33)</f>
        <v/>
      </c>
      <c r="V33" s="4" t="str">
        <f>IF($D33="MiF ",IF($E33="2000m ",VLOOKUP($I33,MiF_Courses!F$3:M$52,8,FALSE),""),"FAUX")</f>
        <v/>
      </c>
      <c r="W33" s="4" t="b">
        <f>IF($E33="80mH ",IF($D33="MiF ",_xlfn.IFERROR(X33,VLOOKUP(ROUNDUP($J33,1),MiF_Courses!H$3:M$52,6,TRUE)-1),X33))</f>
        <v>0</v>
      </c>
      <c r="X33" s="4" t="b">
        <f>IF($E33="80mH ",IF($D33="MiF ",VLOOKUP($J33,MiF_Courses!H$3:M$52,6,FALSE),""))</f>
        <v>0</v>
      </c>
      <c r="Y33" s="3" t="b">
        <f>IF($E33="200mH ",IF($D33="MiF ",_xlfn.IFERROR(Z33,VLOOKUP($L33,MiF_Courses!I$3:M$52,5,TRUE)-1),Z33))</f>
        <v>0</v>
      </c>
      <c r="Z33" s="26" t="str">
        <f>IF($E33="200mH ",IF($D33="MiF ",VLOOKUP($L33,MiF_Courses!I$3:M$52,5,FALSE),""),"FAUX")</f>
        <v>FAUX</v>
      </c>
      <c r="AA33" s="4" t="b">
        <f>IF($E33="3000m Marche ",IF($D33="MiF ",_xlfn.IFERROR(AB33,VLOOKUP($M33,MiF_Courses!J$3:M$52,4,TRUE)-1),AB33))</f>
        <v>0</v>
      </c>
      <c r="AB33" s="4" t="b">
        <f>IF($E33="3000m Marche ",IF($D33="MiF ",VLOOKUP($M33,MiF_Courses!J$3:M$52,4,FALSE),""),FALSE)</f>
        <v>0</v>
      </c>
      <c r="AC33" s="4" t="b">
        <f>IF($E33="80m ",IF($D33="MiM ",_xlfn.IFERROR(AD33,VLOOKUP($F33,MiM_Courses!C$3:M$52,11,TRUE)-1),AD33))</f>
        <v>0</v>
      </c>
      <c r="AD33" s="4" t="b">
        <f>IF($E33="80m ",IF($D33="MiM ",VLOOKUP($F33,MiM_Courses!C$3:M$52,11,FALSE),""),FALSE)</f>
        <v>0</v>
      </c>
      <c r="AE33" s="4" t="b">
        <f>IF($E33="120m ",IF($D33="MiM ",_xlfn.IFERROR(AF33,VLOOKUP($G33,MiM_Courses!D$3:M$52,10,TRUE)-1),AF33))</f>
        <v>0</v>
      </c>
      <c r="AF33" s="4" t="b">
        <f>IF($E33="120m ",IF($D33="MiM ",VLOOKUP($G33,MiM_Courses!D$3:M$52,10,FALSE),""),FALSE)</f>
        <v>0</v>
      </c>
      <c r="AG33" s="4" t="b">
        <f>IF($E33="1000m ",IF($D33="MiM ",_xlfn.IFERROR(AH33,VLOOKUP($H33,MiM_Courses!E$3:M$52,9,TRUE)-1),AH33))</f>
        <v>0</v>
      </c>
      <c r="AH33" s="75" t="str">
        <f>IF($E33="1000m ",IF($D33="MiM ",VLOOKUP($H33,MiM_Courses!E$3:M$52,9,FALSE),""),"FAUX")</f>
        <v>FAUX</v>
      </c>
      <c r="AI33" s="75" t="b">
        <f>IF($E33="2000m ",IF($D33="MiM ",_xlfn.IFERROR(AJ33,VLOOKUP($I33,MiM_Courses!F$3:M$52,8,TRUE)-1),AJ33))</f>
        <v>0</v>
      </c>
      <c r="AJ33" s="75" t="str">
        <f>IF($E33="2000m ",IF($D33="MiM ",VLOOKUP($I33,MiM_Courses!F$3:M$52,8,FALSE),""),"FAUX")</f>
        <v>FAUX</v>
      </c>
      <c r="AK33" s="4" t="b">
        <f>IF($E33="100mH ",IF($D33="MiM ",_xlfn.IFERROR(AL33,VLOOKUP($K33,MiM_Courses!H$3:M$52,6,"VRAI")-1),AL33))</f>
        <v>0</v>
      </c>
      <c r="AL33" s="75" t="str">
        <f>IF($E33="100mH ",IF($D33="MiM ",VLOOKUP(K33,MiM_Courses!H$3:M$51,6,FALSE),""),"FAUX")</f>
        <v>FAUX</v>
      </c>
      <c r="AM33" s="75" t="str">
        <f>IF($E33="200mH ",IF($D33="MiM ",_xlfn.IFERROR(AN33,VLOOKUP($L33,MiM_Courses!I$3:M$52,5,TRUE)-1),AN33),"FAUX")</f>
        <v>FAUX</v>
      </c>
      <c r="AN33" s="75" t="str">
        <f>IF($E33="200mH ",IF($D33="MiM ",VLOOKUP($L33,MiM_Courses!I$3:M$52,5,FALSE),""),"FAUX")</f>
        <v>FAUX</v>
      </c>
      <c r="AO33" s="75" t="str">
        <f>IF($E33="3000m Marche ",IF($D33="MiM ",_xlfn.IFERROR(AP33,VLOOKUP($M33,MiM_Courses!J$3:M$52,4,TRUE)-1),AP33),"FAUX")</f>
        <v>FAUX</v>
      </c>
      <c r="AP33" s="75" t="str">
        <f>IF($E33="3000m Marche ",IF($D33="MiM ",VLOOKUP($M33,MiM_Courses!J$3:M$52,4,FALSE),""),"FAUX")</f>
        <v>FAUX</v>
      </c>
    </row>
    <row r="34" spans="1:42" ht="15">
      <c r="A34" s="60"/>
      <c r="B34" s="46"/>
      <c r="C34" s="70"/>
      <c r="D34" s="67" t="s">
        <v>189</v>
      </c>
      <c r="E34" s="37"/>
      <c r="F34" s="171"/>
      <c r="G34" s="172"/>
      <c r="H34" s="167"/>
      <c r="I34" s="167"/>
      <c r="J34" s="176"/>
      <c r="K34" s="176"/>
      <c r="L34" s="176"/>
      <c r="M34" s="167"/>
      <c r="N34" s="61">
        <f t="shared" si="0"/>
        <v>0</v>
      </c>
      <c r="O34" s="95" t="str">
        <f>IF($D34="MiF ",IF($E34="80m ",_xlfn.IFERROR(P34,VLOOKUP(F34,MiF_Courses!$C$3:$M$52,11,TRUE)-1),P34))</f>
        <v>faux</v>
      </c>
      <c r="P34" s="12" t="str">
        <f>IF($D34="MiF ",IF($E34="80m ",VLOOKUP($F34,MiF_Courses!$C$3:$M$52,11,FALSE),"faux"))</f>
        <v>faux</v>
      </c>
      <c r="Q34" s="95" t="str">
        <f>IF($D34="MiF ",IF($E34="120m ",_xlfn.IFERROR(R34,VLOOKUP($G34,MiF_Courses!D$3:M$52,10,TRUE)-1),""),R34)</f>
        <v/>
      </c>
      <c r="R34" s="32" t="str">
        <f>IF($D34="MiF ",IF($E34="120m ",VLOOKUP($G34,MiF_Courses!$D$3:$M$52,10,FALSE),""),"FAUX")</f>
        <v/>
      </c>
      <c r="S34" s="4" t="b">
        <f>IF($E34="1000m ",IF($D34="MiF ",_xlfn.IFERROR(T34,VLOOKUP(ROUNDUP($H34,1),MiF_Courses!E$3:M$52,9,TRUE)-1),T34))</f>
        <v>0</v>
      </c>
      <c r="T34" s="4" t="b">
        <f>IF($E34="1000m ",IF($D34="MiF ",VLOOKUP($H34,MiF_Courses!E$3:M$52,9,FALSE),""))</f>
        <v>0</v>
      </c>
      <c r="U34" s="4" t="str">
        <f>IF($D34="MiF ",IF($E34="2000m ",_xlfn.IFERROR(V34,VLOOKUP($I34,MiF_Courses!F$3:M$52,8,TRUE)-1),""),V34)</f>
        <v/>
      </c>
      <c r="V34" s="4" t="str">
        <f>IF($D34="MiF ",IF($E34="2000m ",VLOOKUP($I34,MiF_Courses!F$3:M$52,8,FALSE),""),"FAUX")</f>
        <v/>
      </c>
      <c r="W34" s="4" t="b">
        <f>IF($E34="80mH ",IF($D34="MiF ",_xlfn.IFERROR(X34,VLOOKUP(ROUNDUP($J34,1),MiF_Courses!H$3:M$52,6,TRUE)-1),X34))</f>
        <v>0</v>
      </c>
      <c r="X34" s="4" t="b">
        <f>IF($E34="80mH ",IF($D34="MiF ",VLOOKUP($J34,MiF_Courses!H$3:M$52,6,FALSE),""))</f>
        <v>0</v>
      </c>
      <c r="Y34" s="3" t="b">
        <f>IF($E34="200mH ",IF($D34="MiF ",_xlfn.IFERROR(Z34,VLOOKUP($L34,MiF_Courses!I$3:M$52,5,TRUE)-1),Z34))</f>
        <v>0</v>
      </c>
      <c r="Z34" s="26" t="str">
        <f>IF($E34="200mH ",IF($D34="MiF ",VLOOKUP($L34,MiF_Courses!I$3:M$52,5,FALSE),""),"FAUX")</f>
        <v>FAUX</v>
      </c>
      <c r="AA34" s="4" t="b">
        <f>IF($E34="3000m Marche ",IF($D34="MiF ",_xlfn.IFERROR(AB34,VLOOKUP($M34,MiF_Courses!J$3:M$52,4,TRUE)-1),AB34))</f>
        <v>0</v>
      </c>
      <c r="AB34" s="4" t="b">
        <f>IF($E34="3000m Marche ",IF($D34="MiF ",VLOOKUP($M34,MiF_Courses!J$3:M$52,4,FALSE),""),FALSE)</f>
        <v>0</v>
      </c>
      <c r="AC34" s="4" t="b">
        <f>IF($E34="80m ",IF($D34="MiM ",_xlfn.IFERROR(AD34,VLOOKUP($F34,MiM_Courses!C$3:M$52,11,TRUE)-1),AD34))</f>
        <v>0</v>
      </c>
      <c r="AD34" s="4" t="b">
        <f>IF($E34="80m ",IF($D34="MiM ",VLOOKUP($F34,MiM_Courses!C$3:M$52,11,FALSE),""),FALSE)</f>
        <v>0</v>
      </c>
      <c r="AE34" s="4" t="b">
        <f>IF($E34="120m ",IF($D34="MiM ",_xlfn.IFERROR(AF34,VLOOKUP($G34,MiM_Courses!D$3:M$52,10,TRUE)-1),AF34))</f>
        <v>0</v>
      </c>
      <c r="AF34" s="4" t="b">
        <f>IF($E34="120m ",IF($D34="MiM ",VLOOKUP($G34,MiM_Courses!D$3:M$52,10,FALSE),""),FALSE)</f>
        <v>0</v>
      </c>
      <c r="AG34" s="4" t="b">
        <f>IF($E34="1000m ",IF($D34="MiM ",_xlfn.IFERROR(AH34,VLOOKUP($H34,MiM_Courses!E$3:M$52,9,TRUE)-1),AH34))</f>
        <v>0</v>
      </c>
      <c r="AH34" s="75" t="str">
        <f>IF($E34="1000m ",IF($D34="MiM ",VLOOKUP($H34,MiM_Courses!E$3:M$52,9,FALSE),""),"FAUX")</f>
        <v>FAUX</v>
      </c>
      <c r="AI34" s="75" t="b">
        <f>IF($E34="2000m ",IF($D34="MiM ",_xlfn.IFERROR(AJ34,VLOOKUP($I34,MiM_Courses!F$3:M$52,8,TRUE)-1),AJ34))</f>
        <v>0</v>
      </c>
      <c r="AJ34" s="75" t="str">
        <f>IF($E34="2000m ",IF($D34="MiM ",VLOOKUP($I34,MiM_Courses!F$3:M$52,8,FALSE),""),"FAUX")</f>
        <v>FAUX</v>
      </c>
      <c r="AK34" s="4" t="b">
        <f>IF($E34="100mH ",IF($D34="MiM ",_xlfn.IFERROR(AL34,VLOOKUP($K34,MiM_Courses!H$3:M$52,6,"VRAI")-1),AL34))</f>
        <v>0</v>
      </c>
      <c r="AL34" s="75" t="str">
        <f>IF($E34="100mH ",IF($D34="MiM ",VLOOKUP(K34,MiM_Courses!H$3:M$51,6,FALSE),""),"FAUX")</f>
        <v>FAUX</v>
      </c>
      <c r="AM34" s="75" t="str">
        <f>IF($E34="200mH ",IF($D34="MiM ",_xlfn.IFERROR(AN34,VLOOKUP($L34,MiM_Courses!I$3:M$52,5,TRUE)-1),AN34),"FAUX")</f>
        <v>FAUX</v>
      </c>
      <c r="AN34" s="75" t="str">
        <f>IF($E34="200mH ",IF($D34="MiM ",VLOOKUP($L34,MiM_Courses!I$3:M$52,5,FALSE),""),"FAUX")</f>
        <v>FAUX</v>
      </c>
      <c r="AO34" s="75" t="str">
        <f>IF($E34="3000m Marche ",IF($D34="MiM ",_xlfn.IFERROR(AP34,VLOOKUP($M34,MiM_Courses!J$3:M$52,4,TRUE)-1),AP34),"FAUX")</f>
        <v>FAUX</v>
      </c>
      <c r="AP34" s="75" t="str">
        <f>IF($E34="3000m Marche ",IF($D34="MiM ",VLOOKUP($M34,MiM_Courses!J$3:M$52,4,FALSE),""),"FAUX")</f>
        <v>FAUX</v>
      </c>
    </row>
    <row r="35" spans="1:42" ht="15">
      <c r="A35" s="60"/>
      <c r="B35" s="46"/>
      <c r="C35" s="70"/>
      <c r="D35" s="67" t="s">
        <v>189</v>
      </c>
      <c r="E35" s="37"/>
      <c r="F35" s="171"/>
      <c r="G35" s="172"/>
      <c r="H35" s="167"/>
      <c r="I35" s="167"/>
      <c r="J35" s="176"/>
      <c r="K35" s="176"/>
      <c r="L35" s="176"/>
      <c r="M35" s="167"/>
      <c r="N35" s="61">
        <f t="shared" si="0"/>
        <v>0</v>
      </c>
      <c r="O35" s="95" t="str">
        <f>IF($D35="MiF ",IF($E35="80m ",_xlfn.IFERROR(P35,VLOOKUP(F35,MiF_Courses!$C$3:$M$52,11,TRUE)-1),P35))</f>
        <v>faux</v>
      </c>
      <c r="P35" s="12" t="str">
        <f>IF($D35="MiF ",IF($E35="80m ",VLOOKUP($F35,MiF_Courses!$C$3:$M$52,11,FALSE),"faux"))</f>
        <v>faux</v>
      </c>
      <c r="Q35" s="95" t="str">
        <f>IF($D35="MiF ",IF($E35="120m ",_xlfn.IFERROR(R35,VLOOKUP($G35,MiF_Courses!D$3:M$52,10,TRUE)-1),""),R35)</f>
        <v/>
      </c>
      <c r="R35" s="32" t="str">
        <f>IF($D35="MiF ",IF($E35="120m ",VLOOKUP($G35,MiF_Courses!$D$3:$M$52,10,FALSE),""),"FAUX")</f>
        <v/>
      </c>
      <c r="S35" s="4" t="b">
        <f>IF($E35="1000m ",IF($D35="MiF ",_xlfn.IFERROR(T35,VLOOKUP(ROUNDUP($H35,1),MiF_Courses!E$3:M$52,9,TRUE)-1),T35))</f>
        <v>0</v>
      </c>
      <c r="T35" s="4" t="b">
        <f>IF($E35="1000m ",IF($D35="MiF ",VLOOKUP($H35,MiF_Courses!E$3:M$52,9,FALSE),""))</f>
        <v>0</v>
      </c>
      <c r="U35" s="4" t="str">
        <f>IF($D35="MiF ",IF($E35="2000m ",_xlfn.IFERROR(V35,VLOOKUP($I35,MiF_Courses!F$3:M$52,8,TRUE)-1),""),V35)</f>
        <v/>
      </c>
      <c r="V35" s="4" t="str">
        <f>IF($D35="MiF ",IF($E35="2000m ",VLOOKUP($I35,MiF_Courses!F$3:M$52,8,FALSE),""),"FAUX")</f>
        <v/>
      </c>
      <c r="W35" s="4" t="b">
        <f>IF($E35="80mH ",IF($D35="MiF ",_xlfn.IFERROR(X35,VLOOKUP(ROUNDUP($J35,1),MiF_Courses!H$3:M$52,6,TRUE)-1),X35))</f>
        <v>0</v>
      </c>
      <c r="X35" s="4" t="b">
        <f>IF($E35="80mH ",IF($D35="MiF ",VLOOKUP($J35,MiF_Courses!H$3:M$52,6,FALSE),""))</f>
        <v>0</v>
      </c>
      <c r="Y35" s="3" t="b">
        <f>IF($E35="200mH ",IF($D35="MiF ",_xlfn.IFERROR(Z35,VLOOKUP($L35,MiF_Courses!I$3:M$52,5,TRUE)-1),Z35))</f>
        <v>0</v>
      </c>
      <c r="Z35" s="26" t="str">
        <f>IF($E35="200mH ",IF($D35="MiF ",VLOOKUP($L35,MiF_Courses!I$3:M$52,5,FALSE),""),"FAUX")</f>
        <v>FAUX</v>
      </c>
      <c r="AA35" s="4" t="b">
        <f>IF($E35="3000m Marche ",IF($D35="MiF ",_xlfn.IFERROR(AB35,VLOOKUP($M35,MiF_Courses!J$3:M$52,4,TRUE)-1),AB35))</f>
        <v>0</v>
      </c>
      <c r="AB35" s="4" t="b">
        <f>IF($E35="3000m Marche ",IF($D35="MiF ",VLOOKUP($M35,MiF_Courses!J$3:M$52,4,FALSE),""),FALSE)</f>
        <v>0</v>
      </c>
      <c r="AC35" s="4" t="b">
        <f>IF($E35="80m ",IF($D35="MiM ",_xlfn.IFERROR(AD35,VLOOKUP($F35,MiM_Courses!C$3:M$52,11,TRUE)-1),AD35))</f>
        <v>0</v>
      </c>
      <c r="AD35" s="4" t="b">
        <f>IF($E35="80m ",IF($D35="MiM ",VLOOKUP($F35,MiM_Courses!C$3:M$52,11,FALSE),""),FALSE)</f>
        <v>0</v>
      </c>
      <c r="AE35" s="4" t="b">
        <f>IF($E35="120m ",IF($D35="MiM ",_xlfn.IFERROR(AF35,VLOOKUP($G35,MiM_Courses!D$3:M$52,10,TRUE)-1),AF35))</f>
        <v>0</v>
      </c>
      <c r="AF35" s="4" t="b">
        <f>IF($E35="120m ",IF($D35="MiM ",VLOOKUP($G35,MiM_Courses!D$3:M$52,10,FALSE),""),FALSE)</f>
        <v>0</v>
      </c>
      <c r="AG35" s="4" t="b">
        <f>IF($E35="1000m ",IF($D35="MiM ",_xlfn.IFERROR(AH35,VLOOKUP($H35,MiM_Courses!E$3:M$52,9,TRUE)-1),AH35))</f>
        <v>0</v>
      </c>
      <c r="AH35" s="75" t="str">
        <f>IF($E35="1000m ",IF($D35="MiM ",VLOOKUP($H35,MiM_Courses!E$3:M$52,9,FALSE),""),"FAUX")</f>
        <v>FAUX</v>
      </c>
      <c r="AI35" s="75" t="b">
        <f>IF($E35="2000m ",IF($D35="MiM ",_xlfn.IFERROR(AJ35,VLOOKUP($I35,MiM_Courses!F$3:M$52,8,TRUE)-1),AJ35))</f>
        <v>0</v>
      </c>
      <c r="AJ35" s="75" t="str">
        <f>IF($E35="2000m ",IF($D35="MiM ",VLOOKUP($I35,MiM_Courses!F$3:M$52,8,FALSE),""),"FAUX")</f>
        <v>FAUX</v>
      </c>
      <c r="AK35" s="4" t="b">
        <f>IF($E35="100mH ",IF($D35="MiM ",_xlfn.IFERROR(AL35,VLOOKUP($K35,MiM_Courses!H$3:M$52,6,"VRAI")-1),AL35))</f>
        <v>0</v>
      </c>
      <c r="AL35" s="75" t="str">
        <f>IF($E35="100mH ",IF($D35="MiM ",VLOOKUP(K35,MiM_Courses!H$3:M$51,6,FALSE),""),"FAUX")</f>
        <v>FAUX</v>
      </c>
      <c r="AM35" s="75" t="str">
        <f>IF($E35="200mH ",IF($D35="MiM ",_xlfn.IFERROR(AN35,VLOOKUP($L35,MiM_Courses!I$3:M$52,5,TRUE)-1),AN35),"FAUX")</f>
        <v>FAUX</v>
      </c>
      <c r="AN35" s="75" t="str">
        <f>IF($E35="200mH ",IF($D35="MiM ",VLOOKUP($L35,MiM_Courses!I$3:M$52,5,FALSE),""),"FAUX")</f>
        <v>FAUX</v>
      </c>
      <c r="AO35" s="75" t="str">
        <f>IF($E35="3000m Marche ",IF($D35="MiM ",_xlfn.IFERROR(AP35,VLOOKUP($M35,MiM_Courses!J$3:M$52,4,TRUE)-1),AP35),"FAUX")</f>
        <v>FAUX</v>
      </c>
      <c r="AP35" s="75" t="str">
        <f>IF($E35="3000m Marche ",IF($D35="MiM ",VLOOKUP($M35,MiM_Courses!J$3:M$52,4,FALSE),""),"FAUX")</f>
        <v>FAUX</v>
      </c>
    </row>
    <row r="36" spans="1:42" ht="15">
      <c r="A36" s="60"/>
      <c r="B36" s="46"/>
      <c r="C36" s="70"/>
      <c r="D36" s="67" t="s">
        <v>189</v>
      </c>
      <c r="E36" s="37"/>
      <c r="F36" s="171"/>
      <c r="G36" s="172"/>
      <c r="H36" s="167"/>
      <c r="I36" s="167"/>
      <c r="J36" s="176"/>
      <c r="K36" s="176"/>
      <c r="L36" s="176"/>
      <c r="M36" s="167"/>
      <c r="N36" s="61">
        <f t="shared" si="0"/>
        <v>0</v>
      </c>
      <c r="O36" s="95" t="str">
        <f>IF($D36="MiF ",IF($E36="80m ",_xlfn.IFERROR(P36,VLOOKUP(F36,MiF_Courses!$C$3:$M$52,11,TRUE)-1),P36))</f>
        <v>faux</v>
      </c>
      <c r="P36" s="12" t="str">
        <f>IF($D36="MiF ",IF($E36="80m ",VLOOKUP($F36,MiF_Courses!$C$3:$M$52,11,FALSE),"faux"))</f>
        <v>faux</v>
      </c>
      <c r="Q36" s="95" t="str">
        <f>IF($D36="MiF ",IF($E36="120m ",_xlfn.IFERROR(R36,VLOOKUP($G36,MiF_Courses!D$3:M$52,10,TRUE)-1),""),R36)</f>
        <v/>
      </c>
      <c r="R36" s="32" t="str">
        <f>IF($D36="MiF ",IF($E36="120m ",VLOOKUP($G36,MiF_Courses!$D$3:$M$52,10,FALSE),""),"FAUX")</f>
        <v/>
      </c>
      <c r="S36" s="4" t="b">
        <f>IF($E36="1000m ",IF($D36="MiF ",_xlfn.IFERROR(T36,VLOOKUP(ROUNDUP($H36,1),MiF_Courses!E$3:M$52,9,TRUE)-1),T36))</f>
        <v>0</v>
      </c>
      <c r="T36" s="4" t="b">
        <f>IF($E36="1000m ",IF($D36="MiF ",VLOOKUP($H36,MiF_Courses!E$3:M$52,9,FALSE),""))</f>
        <v>0</v>
      </c>
      <c r="U36" s="4" t="str">
        <f>IF($D36="MiF ",IF($E36="2000m ",_xlfn.IFERROR(V36,VLOOKUP($I36,MiF_Courses!F$3:M$52,8,TRUE)-1),""),V36)</f>
        <v/>
      </c>
      <c r="V36" s="4" t="str">
        <f>IF($D36="MiF ",IF($E36="2000m ",VLOOKUP($I36,MiF_Courses!F$3:M$52,8,FALSE),""),"FAUX")</f>
        <v/>
      </c>
      <c r="W36" s="4" t="b">
        <f>IF($E36="80mH ",IF($D36="MiF ",_xlfn.IFERROR(X36,VLOOKUP(ROUNDUP($J36,1),MiF_Courses!H$3:M$52,6,TRUE)-1),X36))</f>
        <v>0</v>
      </c>
      <c r="X36" s="4" t="b">
        <f>IF($E36="80mH ",IF($D36="MiF ",VLOOKUP($J36,MiF_Courses!H$3:M$52,6,FALSE),""))</f>
        <v>0</v>
      </c>
      <c r="Y36" s="3" t="b">
        <f>IF($E36="200mH ",IF($D36="MiF ",_xlfn.IFERROR(Z36,VLOOKUP($L36,MiF_Courses!I$3:M$52,5,TRUE)-1),Z36))</f>
        <v>0</v>
      </c>
      <c r="Z36" s="26" t="str">
        <f>IF($E36="200mH ",IF($D36="MiF ",VLOOKUP($L36,MiF_Courses!I$3:M$52,5,FALSE),""),"FAUX")</f>
        <v>FAUX</v>
      </c>
      <c r="AA36" s="4" t="b">
        <f>IF($E36="3000m Marche ",IF($D36="MiF ",_xlfn.IFERROR(AB36,VLOOKUP($M36,MiF_Courses!J$3:M$52,4,TRUE)-1),AB36))</f>
        <v>0</v>
      </c>
      <c r="AB36" s="4" t="b">
        <f>IF($E36="3000m Marche ",IF($D36="MiF ",VLOOKUP($M36,MiF_Courses!J$3:M$52,4,FALSE),""),FALSE)</f>
        <v>0</v>
      </c>
      <c r="AC36" s="4" t="b">
        <f>IF($E36="80m ",IF($D36="MiM ",_xlfn.IFERROR(AD36,VLOOKUP($F36,MiM_Courses!C$3:M$52,11,TRUE)-1),AD36))</f>
        <v>0</v>
      </c>
      <c r="AD36" s="4" t="b">
        <f>IF($E36="80m ",IF($D36="MiM ",VLOOKUP($F36,MiM_Courses!C$3:M$52,11,FALSE),""),FALSE)</f>
        <v>0</v>
      </c>
      <c r="AE36" s="4" t="b">
        <f>IF($E36="120m ",IF($D36="MiM ",_xlfn.IFERROR(AF36,VLOOKUP($G36,MiM_Courses!D$3:M$52,10,TRUE)-1),AF36))</f>
        <v>0</v>
      </c>
      <c r="AF36" s="4" t="b">
        <f>IF($E36="120m ",IF($D36="MiM ",VLOOKUP($G36,MiM_Courses!D$3:M$52,10,FALSE),""),FALSE)</f>
        <v>0</v>
      </c>
      <c r="AG36" s="4" t="b">
        <f>IF($E36="1000m ",IF($D36="MiM ",_xlfn.IFERROR(AH36,VLOOKUP($H36,MiM_Courses!E$3:M$52,9,TRUE)-1),AH36))</f>
        <v>0</v>
      </c>
      <c r="AH36" s="75" t="str">
        <f>IF($E36="1000m ",IF($D36="MiM ",VLOOKUP($H36,MiM_Courses!E$3:M$52,9,FALSE),""),"FAUX")</f>
        <v>FAUX</v>
      </c>
      <c r="AI36" s="75" t="b">
        <f>IF($E36="2000m ",IF($D36="MiM ",_xlfn.IFERROR(AJ36,VLOOKUP($I36,MiM_Courses!F$3:M$52,8,TRUE)-1),AJ36))</f>
        <v>0</v>
      </c>
      <c r="AJ36" s="75" t="str">
        <f>IF($E36="2000m ",IF($D36="MiM ",VLOOKUP($I36,MiM_Courses!F$3:M$52,8,FALSE),""),"FAUX")</f>
        <v>FAUX</v>
      </c>
      <c r="AK36" s="4" t="b">
        <f>IF($E36="100mH ",IF($D36="MiM ",_xlfn.IFERROR(AL36,VLOOKUP($K36,MiM_Courses!H$3:M$52,6,"VRAI")-1),AL36))</f>
        <v>0</v>
      </c>
      <c r="AL36" s="75" t="str">
        <f>IF($E36="100mH ",IF($D36="MiM ",VLOOKUP(K36,MiM_Courses!H$3:M$51,6,FALSE),""),"FAUX")</f>
        <v>FAUX</v>
      </c>
      <c r="AM36" s="75" t="str">
        <f>IF($E36="200mH ",IF($D36="MiM ",_xlfn.IFERROR(AN36,VLOOKUP($L36,MiM_Courses!I$3:M$52,5,TRUE)-1),AN36),"FAUX")</f>
        <v>FAUX</v>
      </c>
      <c r="AN36" s="75" t="str">
        <f>IF($E36="200mH ",IF($D36="MiM ",VLOOKUP($L36,MiM_Courses!I$3:M$52,5,FALSE),""),"FAUX")</f>
        <v>FAUX</v>
      </c>
      <c r="AO36" s="75" t="str">
        <f>IF($E36="3000m Marche ",IF($D36="MiM ",_xlfn.IFERROR(AP36,VLOOKUP($M36,MiM_Courses!J$3:M$52,4,TRUE)-1),AP36),"FAUX")</f>
        <v>FAUX</v>
      </c>
      <c r="AP36" s="75" t="str">
        <f>IF($E36="3000m Marche ",IF($D36="MiM ",VLOOKUP($M36,MiM_Courses!J$3:M$52,4,FALSE),""),"FAUX")</f>
        <v>FAUX</v>
      </c>
    </row>
    <row r="37" spans="1:42" ht="15">
      <c r="A37" s="60"/>
      <c r="B37" s="46"/>
      <c r="C37" s="70"/>
      <c r="D37" s="67" t="s">
        <v>189</v>
      </c>
      <c r="E37" s="37"/>
      <c r="F37" s="171"/>
      <c r="G37" s="172"/>
      <c r="H37" s="167"/>
      <c r="I37" s="167"/>
      <c r="J37" s="176"/>
      <c r="K37" s="176"/>
      <c r="L37" s="176"/>
      <c r="M37" s="167"/>
      <c r="N37" s="61">
        <f t="shared" si="0"/>
        <v>0</v>
      </c>
      <c r="O37" s="95" t="str">
        <f>IF($D37="MiF ",IF($E37="80m ",_xlfn.IFERROR(P37,VLOOKUP(F37,MiF_Courses!$C$3:$M$52,11,TRUE)-1),P37))</f>
        <v>faux</v>
      </c>
      <c r="P37" s="12" t="str">
        <f>IF($D37="MiF ",IF($E37="80m ",VLOOKUP($F37,MiF_Courses!$C$3:$M$52,11,FALSE),"faux"))</f>
        <v>faux</v>
      </c>
      <c r="Q37" s="95" t="str">
        <f>IF($D37="MiF ",IF($E37="120m ",_xlfn.IFERROR(R37,VLOOKUP($G37,MiF_Courses!D$3:M$52,10,TRUE)-1),""),R37)</f>
        <v/>
      </c>
      <c r="R37" s="32" t="str">
        <f>IF($D37="MiF ",IF($E37="120m ",VLOOKUP($G37,MiF_Courses!$D$3:$M$52,10,FALSE),""),"FAUX")</f>
        <v/>
      </c>
      <c r="S37" s="4" t="b">
        <f>IF($E37="1000m ",IF($D37="MiF ",_xlfn.IFERROR(T37,VLOOKUP(ROUNDUP($H37,1),MiF_Courses!E$3:M$52,9,TRUE)-1),T37))</f>
        <v>0</v>
      </c>
      <c r="T37" s="4" t="b">
        <f>IF($E37="1000m ",IF($D37="MiF ",VLOOKUP($H37,MiF_Courses!E$3:M$52,9,FALSE),""))</f>
        <v>0</v>
      </c>
      <c r="U37" s="4" t="str">
        <f>IF($D37="MiF ",IF($E37="2000m ",_xlfn.IFERROR(V37,VLOOKUP($I37,MiF_Courses!F$3:M$52,8,TRUE)-1),""),V37)</f>
        <v/>
      </c>
      <c r="V37" s="4" t="str">
        <f>IF($D37="MiF ",IF($E37="2000m ",VLOOKUP($I37,MiF_Courses!F$3:M$52,8,FALSE),""),"FAUX")</f>
        <v/>
      </c>
      <c r="W37" s="4" t="b">
        <f>IF($E37="80mH ",IF($D37="MiF ",_xlfn.IFERROR(X37,VLOOKUP(ROUNDUP($J37,1),MiF_Courses!H$3:M$52,6,TRUE)-1),X37))</f>
        <v>0</v>
      </c>
      <c r="X37" s="4" t="b">
        <f>IF($E37="80mH ",IF($D37="MiF ",VLOOKUP($J37,MiF_Courses!H$3:M$52,6,FALSE),""))</f>
        <v>0</v>
      </c>
      <c r="Y37" s="3" t="b">
        <f>IF($E37="200mH ",IF($D37="MiF ",_xlfn.IFERROR(Z37,VLOOKUP($L37,MiF_Courses!I$3:M$52,5,TRUE)-1),Z37))</f>
        <v>0</v>
      </c>
      <c r="Z37" s="26" t="str">
        <f>IF($E37="200mH ",IF($D37="MiF ",VLOOKUP($L37,MiF_Courses!I$3:M$52,5,FALSE),""),"FAUX")</f>
        <v>FAUX</v>
      </c>
      <c r="AA37" s="4" t="b">
        <f>IF($E37="3000m Marche ",IF($D37="MiF ",_xlfn.IFERROR(AB37,VLOOKUP($M37,MiF_Courses!J$3:M$52,4,TRUE)-1),AB37))</f>
        <v>0</v>
      </c>
      <c r="AB37" s="4" t="b">
        <f>IF($E37="3000m Marche ",IF($D37="MiF ",VLOOKUP($M37,MiF_Courses!J$3:M$52,4,FALSE),""),FALSE)</f>
        <v>0</v>
      </c>
      <c r="AC37" s="4" t="b">
        <f>IF($E37="80m ",IF($D37="MiM ",_xlfn.IFERROR(AD37,VLOOKUP($F37,MiM_Courses!C$3:M$52,11,TRUE)-1),AD37))</f>
        <v>0</v>
      </c>
      <c r="AD37" s="4" t="b">
        <f>IF($E37="80m ",IF($D37="MiM ",VLOOKUP($F37,MiM_Courses!C$3:M$52,11,FALSE),""),FALSE)</f>
        <v>0</v>
      </c>
      <c r="AE37" s="4" t="b">
        <f>IF($E37="120m ",IF($D37="MiM ",_xlfn.IFERROR(AF37,VLOOKUP($G37,MiM_Courses!D$3:M$52,10,TRUE)-1),AF37))</f>
        <v>0</v>
      </c>
      <c r="AF37" s="4" t="b">
        <f>IF($E37="120m ",IF($D37="MiM ",VLOOKUP($G37,MiM_Courses!D$3:M$52,10,FALSE),""),FALSE)</f>
        <v>0</v>
      </c>
      <c r="AG37" s="4" t="b">
        <f>IF($E37="1000m ",IF($D37="MiM ",_xlfn.IFERROR(AH37,VLOOKUP($H37,MiM_Courses!E$3:M$52,9,TRUE)-1),AH37))</f>
        <v>0</v>
      </c>
      <c r="AH37" s="75" t="str">
        <f>IF($E37="1000m ",IF($D37="MiM ",VLOOKUP($H37,MiM_Courses!E$3:M$52,9,FALSE),""),"FAUX")</f>
        <v>FAUX</v>
      </c>
      <c r="AI37" s="75" t="b">
        <f>IF($E37="2000m ",IF($D37="MiM ",_xlfn.IFERROR(AJ37,VLOOKUP($I37,MiM_Courses!F$3:M$52,8,TRUE)-1),AJ37))</f>
        <v>0</v>
      </c>
      <c r="AJ37" s="75" t="str">
        <f>IF($E37="2000m ",IF($D37="MiM ",VLOOKUP($I37,MiM_Courses!F$3:M$52,8,FALSE),""),"FAUX")</f>
        <v>FAUX</v>
      </c>
      <c r="AK37" s="4" t="b">
        <f>IF($E37="100mH ",IF($D37="MiM ",_xlfn.IFERROR(AL37,VLOOKUP($K37,MiM_Courses!H$3:M$52,6,"VRAI")-1),AL37))</f>
        <v>0</v>
      </c>
      <c r="AL37" s="75" t="str">
        <f>IF($E37="100mH ",IF($D37="MiM ",VLOOKUP(K37,MiM_Courses!H$3:M$51,6,FALSE),""),"FAUX")</f>
        <v>FAUX</v>
      </c>
      <c r="AM37" s="75" t="str">
        <f>IF($E37="200mH ",IF($D37="MiM ",_xlfn.IFERROR(AN37,VLOOKUP($L37,MiM_Courses!I$3:M$52,5,TRUE)-1),AN37),"FAUX")</f>
        <v>FAUX</v>
      </c>
      <c r="AN37" s="75" t="str">
        <f>IF($E37="200mH ",IF($D37="MiM ",VLOOKUP($L37,MiM_Courses!I$3:M$52,5,FALSE),""),"FAUX")</f>
        <v>FAUX</v>
      </c>
      <c r="AO37" s="75" t="str">
        <f>IF($E37="3000m Marche ",IF($D37="MiM ",_xlfn.IFERROR(AP37,VLOOKUP($M37,MiM_Courses!J$3:M$52,4,TRUE)-1),AP37),"FAUX")</f>
        <v>FAUX</v>
      </c>
      <c r="AP37" s="75" t="str">
        <f>IF($E37="3000m Marche ",IF($D37="MiM ",VLOOKUP($M37,MiM_Courses!J$3:M$52,4,FALSE),""),"FAUX")</f>
        <v>FAUX</v>
      </c>
    </row>
    <row r="38" spans="1:42" ht="15.75" thickBot="1">
      <c r="A38" s="62"/>
      <c r="B38" s="63"/>
      <c r="C38" s="71"/>
      <c r="D38" s="68" t="s">
        <v>189</v>
      </c>
      <c r="E38" s="39"/>
      <c r="F38" s="173"/>
      <c r="G38" s="174"/>
      <c r="H38" s="168"/>
      <c r="I38" s="168"/>
      <c r="J38" s="177"/>
      <c r="K38" s="177"/>
      <c r="L38" s="177"/>
      <c r="M38" s="168"/>
      <c r="N38" s="65">
        <f t="shared" si="0"/>
        <v>0</v>
      </c>
      <c r="O38" s="95" t="str">
        <f>IF($D38="MiF ",IF($E38="80m ",_xlfn.IFERROR(P38,VLOOKUP(F38,MiF_Courses!$C$3:$M$52,11,TRUE)-1),P38))</f>
        <v>faux</v>
      </c>
      <c r="P38" s="12" t="str">
        <f>IF($D38="MiF ",IF($E38="80m ",VLOOKUP($F38,MiF_Courses!$C$3:$M$52,11,FALSE),"faux"))</f>
        <v>faux</v>
      </c>
      <c r="Q38" s="95" t="str">
        <f>IF($D38="MiF ",IF($E38="120m ",_xlfn.IFERROR(R38,VLOOKUP($G38,MiF_Courses!D$3:M$52,10,TRUE)-1),""),R38)</f>
        <v/>
      </c>
      <c r="R38" s="32" t="str">
        <f>IF($D38="MiF ",IF($E38="120m ",VLOOKUP($G38,MiF_Courses!$D$3:$M$52,10,FALSE),""),"FAUX")</f>
        <v/>
      </c>
      <c r="S38" s="4" t="b">
        <f>IF($E38="1000m ",IF($D38="MiF ",_xlfn.IFERROR(T38,VLOOKUP(ROUNDUP($H38,1),MiF_Courses!E$3:M$52,9,TRUE)-1),T38))</f>
        <v>0</v>
      </c>
      <c r="T38" s="4" t="b">
        <f>IF($E38="1000m ",IF($D38="MiF ",VLOOKUP($H38,MiF_Courses!E$3:M$52,9,FALSE),""))</f>
        <v>0</v>
      </c>
      <c r="U38" s="4" t="str">
        <f>IF($D38="MiF ",IF($E38="2000m ",_xlfn.IFERROR(V38,VLOOKUP($I38,MiF_Courses!F$3:M$52,8,TRUE)-1),""),V38)</f>
        <v/>
      </c>
      <c r="V38" s="4" t="str">
        <f>IF($D38="MiF ",IF($E38="2000m ",VLOOKUP($I38,MiF_Courses!F$3:M$52,8,FALSE),""),"FAUX")</f>
        <v/>
      </c>
      <c r="W38" s="4" t="b">
        <f>IF($E38="80mH ",IF($D38="MiF ",_xlfn.IFERROR(X38,VLOOKUP(ROUNDUP($J38,1),MiF_Courses!H$3:M$52,6,TRUE)-1),X38))</f>
        <v>0</v>
      </c>
      <c r="X38" s="4" t="b">
        <f>IF($E38="80mH ",IF($D38="MiF ",VLOOKUP($J38,MiF_Courses!H$3:M$52,6,FALSE),""))</f>
        <v>0</v>
      </c>
      <c r="Y38" s="3" t="b">
        <f>IF($E38="200mH ",IF($D38="MiF ",_xlfn.IFERROR(Z38,VLOOKUP($L38,MiF_Courses!I$3:M$52,5,TRUE)-1),Z38))</f>
        <v>0</v>
      </c>
      <c r="Z38" s="26" t="str">
        <f>IF($E38="200mH ",IF($D38="MiF ",VLOOKUP($L38,MiF_Courses!I$3:M$52,5,FALSE),""),"FAUX")</f>
        <v>FAUX</v>
      </c>
      <c r="AA38" s="4" t="b">
        <f>IF($E38="3000m Marche ",IF($D38="MiF ",_xlfn.IFERROR(AB38,VLOOKUP($M38,MiF_Courses!J$3:M$52,4,TRUE)-1),AB38))</f>
        <v>0</v>
      </c>
      <c r="AB38" s="4" t="b">
        <f>IF($E38="3000m Marche ",IF($D38="MiF ",VLOOKUP($M38,MiF_Courses!J$3:M$52,4,FALSE),""),FALSE)</f>
        <v>0</v>
      </c>
      <c r="AC38" s="4" t="b">
        <f>IF($E38="80m ",IF($D38="MiM ",_xlfn.IFERROR(AD38,VLOOKUP($F38,MiM_Courses!C$3:M$52,11,TRUE)-1),AD38))</f>
        <v>0</v>
      </c>
      <c r="AD38" s="4" t="b">
        <f>IF($E38="80m ",IF($D38="MiM ",VLOOKUP($F38,MiM_Courses!C$3:M$52,11,FALSE),""),FALSE)</f>
        <v>0</v>
      </c>
      <c r="AE38" s="4" t="b">
        <f>IF($E38="120m ",IF($D38="MiM ",_xlfn.IFERROR(AF38,VLOOKUP($G38,MiM_Courses!D$3:M$52,10,TRUE)-1),AF38))</f>
        <v>0</v>
      </c>
      <c r="AF38" s="4" t="b">
        <f>IF($E38="120m ",IF($D38="MiM ",VLOOKUP($G38,MiM_Courses!D$3:M$52,10,FALSE),""),FALSE)</f>
        <v>0</v>
      </c>
      <c r="AG38" s="4" t="b">
        <f>IF($E38="1000m ",IF($D38="MiM ",_xlfn.IFERROR(AH38,VLOOKUP($H38,MiM_Courses!E$3:M$52,9,TRUE)-1),AH38))</f>
        <v>0</v>
      </c>
      <c r="AH38" s="75" t="str">
        <f>IF($E38="1000m ",IF($D38="MiM ",VLOOKUP($H38,MiM_Courses!E$3:M$52,9,FALSE),""),"FAUX")</f>
        <v>FAUX</v>
      </c>
      <c r="AI38" s="75" t="b">
        <f>IF($E38="2000m ",IF($D38="MiM ",_xlfn.IFERROR(AJ38,VLOOKUP($I38,MiM_Courses!F$3:M$52,8,TRUE)-1),AJ38))</f>
        <v>0</v>
      </c>
      <c r="AJ38" s="75" t="str">
        <f>IF($E38="2000m ",IF($D38="MiM ",VLOOKUP($I38,MiM_Courses!F$3:M$52,8,FALSE),""),"FAUX")</f>
        <v>FAUX</v>
      </c>
      <c r="AK38" s="4" t="b">
        <f>IF($E38="100mH ",IF($D38="MiM ",_xlfn.IFERROR(AL38,VLOOKUP($K38,MiM_Courses!H$3:M$52,6,"VRAI")-1),AL38))</f>
        <v>0</v>
      </c>
      <c r="AL38" s="75" t="str">
        <f>IF($E38="100mH ",IF($D38="MiM ",VLOOKUP(K38,MiM_Courses!H$3:M$51,6,FALSE),""),"FAUX")</f>
        <v>FAUX</v>
      </c>
      <c r="AM38" s="75" t="str">
        <f>IF($E38="200mH ",IF($D38="MiM ",_xlfn.IFERROR(AN38,VLOOKUP($L38,MiM_Courses!I$3:M$52,5,TRUE)-1),AN38),"FAUX")</f>
        <v>FAUX</v>
      </c>
      <c r="AN38" s="75" t="str">
        <f>IF($E38="200mH ",IF($D38="MiM ",VLOOKUP($L38,MiM_Courses!I$3:M$52,5,FALSE),""),"FAUX")</f>
        <v>FAUX</v>
      </c>
      <c r="AO38" s="75" t="str">
        <f>IF($E38="3000m Marche ",IF($D38="MiM ",_xlfn.IFERROR(AP38,VLOOKUP($M38,MiM_Courses!J$3:M$52,4,TRUE)-1),AP38),"FAUX")</f>
        <v>FAUX</v>
      </c>
      <c r="AP38" s="75" t="str">
        <f>IF($E38="3000m Marche ",IF($D38="MiM ",VLOOKUP($M38,MiM_Courses!J$3:M$52,4,FALSE),""),"FAUX")</f>
        <v>FAUX</v>
      </c>
    </row>
  </sheetData>
  <sheetProtection password="D2F3" sheet="1" objects="1" scenarios="1" selectLockedCells="1"/>
  <mergeCells count="9">
    <mergeCell ref="A2:N3"/>
    <mergeCell ref="B5:B6"/>
    <mergeCell ref="L5:M5"/>
    <mergeCell ref="L6:M6"/>
    <mergeCell ref="J5:K5"/>
    <mergeCell ref="J6:K6"/>
    <mergeCell ref="I4:N4"/>
    <mergeCell ref="C5:I6"/>
    <mergeCell ref="C4:G4"/>
  </mergeCells>
  <conditionalFormatting sqref="D8:D38">
    <cfRule type="expression" priority="6" dxfId="64">
      <formula>$AG$3</formula>
    </cfRule>
    <cfRule type="containsText" priority="5" dxfId="65" operator="containsText" text="MiF ">
      <formula>NOT(ISERROR(SEARCH("MiF ",D8)))</formula>
    </cfRule>
  </conditionalFormatting>
  <conditionalFormatting sqref="D8:D38">
    <cfRule type="containsText" priority="4" dxfId="63" operator="containsText" text="MiM">
      <formula>NOT(ISERROR(SEARCH("MiM",D8)))</formula>
    </cfRule>
  </conditionalFormatting>
  <dataValidations count="2">
    <dataValidation type="list" allowBlank="1" showInputMessage="1" showErrorMessage="1" sqref="D8:D38">
      <formula1>$AG$3:$AG$4</formula1>
    </dataValidation>
    <dataValidation type="list" allowBlank="1" showInputMessage="1" showErrorMessage="1" sqref="B4 E8:E38">
      <formula1>$AR$7:$AR$16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300" verticalDpi="300" orientation="landscape" paperSize="256" scale="65" r:id="rId3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38"/>
  <sheetViews>
    <sheetView workbookViewId="0" topLeftCell="A4">
      <selection activeCell="D8" sqref="D8"/>
    </sheetView>
  </sheetViews>
  <sheetFormatPr defaultColWidth="11.421875" defaultRowHeight="15"/>
  <cols>
    <col min="1" max="3" width="18.28125" style="0" customWidth="1"/>
    <col min="4" max="5" width="18.00390625" style="2" customWidth="1"/>
    <col min="6" max="13" width="12.57421875" style="2" customWidth="1"/>
    <col min="14" max="14" width="13.8515625" style="2" bestFit="1" customWidth="1"/>
    <col min="15" max="17" width="11.421875" style="2" hidden="1" customWidth="1"/>
    <col min="18" max="25" width="11.421875" style="0" hidden="1" customWidth="1"/>
    <col min="26" max="26" width="11.421875" style="2" hidden="1" customWidth="1"/>
    <col min="27" max="33" width="11.421875" style="0" hidden="1" customWidth="1"/>
    <col min="34" max="36" width="11.421875" style="74" hidden="1" customWidth="1"/>
    <col min="37" max="37" width="11.421875" style="0" hidden="1" customWidth="1"/>
    <col min="38" max="42" width="11.421875" style="74" hidden="1" customWidth="1"/>
    <col min="43" max="46" width="11.421875" style="0" hidden="1" customWidth="1"/>
  </cols>
  <sheetData>
    <row r="1" spans="1:18" ht="171" customHeight="1" thickBot="1">
      <c r="A1" s="5"/>
      <c r="B1" s="6"/>
      <c r="C1" s="6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  <c r="O1" s="100"/>
      <c r="P1" s="10"/>
      <c r="Q1" s="10"/>
      <c r="R1" s="30"/>
    </row>
    <row r="2" spans="1:18" ht="12" customHeight="1">
      <c r="A2" s="197" t="s">
        <v>325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9"/>
      <c r="O2" s="100"/>
      <c r="P2" s="10"/>
      <c r="Q2" s="10"/>
      <c r="R2" s="31"/>
    </row>
    <row r="3" spans="1:33" ht="14.25" customHeight="1" thickBot="1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2"/>
      <c r="O3" s="93"/>
      <c r="P3" s="10"/>
      <c r="Q3" s="10"/>
      <c r="R3" s="31"/>
      <c r="AG3" s="97" t="s">
        <v>189</v>
      </c>
    </row>
    <row r="4" spans="1:33" ht="15.75" thickBot="1">
      <c r="A4" s="21" t="s">
        <v>65</v>
      </c>
      <c r="B4" s="22"/>
      <c r="C4" s="277" t="str">
        <f>IF(B4="80mH ",AT12,IF(B4="100mH ",AT13,IF(B4="200mH ",AT14," ")))</f>
        <v/>
      </c>
      <c r="D4" s="278"/>
      <c r="E4" s="278"/>
      <c r="F4" s="278"/>
      <c r="G4" s="279"/>
      <c r="H4" s="79" t="s">
        <v>62</v>
      </c>
      <c r="I4" s="273"/>
      <c r="J4" s="236"/>
      <c r="K4" s="236"/>
      <c r="L4" s="236"/>
      <c r="M4" s="236"/>
      <c r="N4" s="274"/>
      <c r="O4" s="94"/>
      <c r="P4" s="10"/>
      <c r="Q4" s="10"/>
      <c r="R4" s="30"/>
      <c r="AG4" s="98" t="s">
        <v>190</v>
      </c>
    </row>
    <row r="5" spans="1:33" ht="15">
      <c r="A5" s="119" t="s">
        <v>0</v>
      </c>
      <c r="B5" s="195" t="s">
        <v>61</v>
      </c>
      <c r="C5" s="187"/>
      <c r="D5" s="188"/>
      <c r="E5" s="188"/>
      <c r="F5" s="188"/>
      <c r="G5" s="230"/>
      <c r="H5" s="230"/>
      <c r="I5" s="275"/>
      <c r="J5" s="216" t="s">
        <v>1</v>
      </c>
      <c r="K5" s="267"/>
      <c r="L5" s="217" t="s">
        <v>2</v>
      </c>
      <c r="M5" s="218"/>
      <c r="N5" s="94" t="s">
        <v>63</v>
      </c>
      <c r="O5" s="94"/>
      <c r="P5" s="10"/>
      <c r="Q5" s="10"/>
      <c r="R5" s="30"/>
      <c r="AG5" t="s">
        <v>10</v>
      </c>
    </row>
    <row r="6" spans="1:33" ht="15.75" thickBot="1">
      <c r="A6" s="24"/>
      <c r="B6" s="210"/>
      <c r="C6" s="212"/>
      <c r="D6" s="213"/>
      <c r="E6" s="213"/>
      <c r="F6" s="213"/>
      <c r="G6" s="231"/>
      <c r="H6" s="231"/>
      <c r="I6" s="276"/>
      <c r="J6" s="220"/>
      <c r="K6" s="272"/>
      <c r="L6" s="221"/>
      <c r="M6" s="222"/>
      <c r="N6" s="94" t="s">
        <v>64</v>
      </c>
      <c r="O6" s="94"/>
      <c r="P6" s="10"/>
      <c r="Q6" s="10"/>
      <c r="R6" s="30"/>
      <c r="AG6" t="s">
        <v>10</v>
      </c>
    </row>
    <row r="7" spans="1:42" ht="30" customHeight="1" thickBot="1">
      <c r="A7" s="126" t="s">
        <v>3</v>
      </c>
      <c r="B7" s="20" t="s">
        <v>4</v>
      </c>
      <c r="C7" s="20" t="s">
        <v>5</v>
      </c>
      <c r="D7" s="20" t="s">
        <v>328</v>
      </c>
      <c r="E7" s="20" t="s">
        <v>151</v>
      </c>
      <c r="F7" s="20" t="s">
        <v>34</v>
      </c>
      <c r="G7" s="20" t="s">
        <v>35</v>
      </c>
      <c r="H7" s="20" t="s">
        <v>24</v>
      </c>
      <c r="I7" s="20" t="s">
        <v>36</v>
      </c>
      <c r="J7" s="20" t="s">
        <v>160</v>
      </c>
      <c r="K7" s="20" t="s">
        <v>161</v>
      </c>
      <c r="L7" s="20" t="s">
        <v>66</v>
      </c>
      <c r="M7" s="20" t="s">
        <v>42</v>
      </c>
      <c r="N7" s="120" t="s">
        <v>6</v>
      </c>
      <c r="O7" s="87" t="s">
        <v>163</v>
      </c>
      <c r="P7" s="20" t="s">
        <v>164</v>
      </c>
      <c r="Q7" s="20" t="s">
        <v>165</v>
      </c>
      <c r="R7" s="20" t="s">
        <v>166</v>
      </c>
      <c r="S7" s="86" t="s">
        <v>162</v>
      </c>
      <c r="T7" s="86" t="s">
        <v>167</v>
      </c>
      <c r="U7" s="86" t="s">
        <v>168</v>
      </c>
      <c r="V7" s="86" t="s">
        <v>169</v>
      </c>
      <c r="W7" s="86" t="s">
        <v>170</v>
      </c>
      <c r="X7" s="86" t="s">
        <v>171</v>
      </c>
      <c r="Y7" s="86" t="s">
        <v>172</v>
      </c>
      <c r="Z7" s="86" t="s">
        <v>173</v>
      </c>
      <c r="AA7" s="86" t="s">
        <v>174</v>
      </c>
      <c r="AB7" s="86" t="s">
        <v>175</v>
      </c>
      <c r="AC7" s="86" t="s">
        <v>176</v>
      </c>
      <c r="AD7" s="86" t="s">
        <v>177</v>
      </c>
      <c r="AE7" s="86" t="s">
        <v>178</v>
      </c>
      <c r="AF7" s="86" t="s">
        <v>179</v>
      </c>
      <c r="AG7" s="86" t="s">
        <v>180</v>
      </c>
      <c r="AH7" s="86" t="s">
        <v>181</v>
      </c>
      <c r="AI7" s="86" t="s">
        <v>182</v>
      </c>
      <c r="AJ7" s="86" t="s">
        <v>183</v>
      </c>
      <c r="AK7" s="86" t="s">
        <v>191</v>
      </c>
      <c r="AL7" s="86" t="s">
        <v>192</v>
      </c>
      <c r="AM7" s="86" t="s">
        <v>184</v>
      </c>
      <c r="AN7" s="86" t="s">
        <v>185</v>
      </c>
      <c r="AO7" s="86" t="s">
        <v>186</v>
      </c>
      <c r="AP7" s="86" t="s">
        <v>187</v>
      </c>
    </row>
    <row r="8" spans="1:44" ht="15">
      <c r="A8" s="56"/>
      <c r="B8" s="57"/>
      <c r="C8" s="69"/>
      <c r="D8" s="66" t="s">
        <v>190</v>
      </c>
      <c r="E8" s="35"/>
      <c r="F8" s="169"/>
      <c r="G8" s="170"/>
      <c r="H8" s="166"/>
      <c r="I8" s="155"/>
      <c r="J8" s="155"/>
      <c r="K8" s="155"/>
      <c r="L8" s="155"/>
      <c r="M8" s="102"/>
      <c r="N8" s="59">
        <f>MAX(O8,Q8,S8,U8,W8,Y8,AA8,AC8,AE8,AG8,AI8,AK8,AM8,AO8)</f>
        <v>0</v>
      </c>
      <c r="O8" s="95" t="b">
        <f>IF($D8="MiF ",IF($E8="80m ",_xlfn.IFERROR(P8,VLOOKUP(F8,MiF_Courses!$C$3:$M$52,11,TRUE)-1),P8))</f>
        <v>0</v>
      </c>
      <c r="P8" s="12" t="str">
        <f>IF($D8="MiF ",IF($E8="80m ",VLOOKUP($F8,MiF_Courses!$C$3:$M$52,11,FALSE),""),"FAUX")</f>
        <v>FAUX</v>
      </c>
      <c r="Q8" s="95" t="str">
        <f>IF($D8="MiF ",IF($E8="120m ",_xlfn.IFERROR(R8,VLOOKUP($G8,MiF_Courses!D$3:M$52,10,TRUE)-1),""),R8)</f>
        <v>FAUX</v>
      </c>
      <c r="R8" s="32" t="str">
        <f>IF($D8="MiF ",IF($E8="120m ",VLOOKUP($G8,MiF_Courses!$D$3:$M$52,10,FALSE),""),"FAUX")</f>
        <v>FAUX</v>
      </c>
      <c r="S8" s="4" t="b">
        <f>IF($E8="1000m ",IF($D8="MiF ",_xlfn.IFERROR(T8,VLOOKUP(ROUNDUP($H8,1),MiF_Courses!E$3:M$52,9,TRUE)-1),T8))</f>
        <v>0</v>
      </c>
      <c r="T8" s="4" t="b">
        <f>IF($E8="1000m ",IF($D8="MiF ",VLOOKUP($H8,MiF_Courses!E$3:M$52,9,FALSE),""))</f>
        <v>0</v>
      </c>
      <c r="U8" s="95" t="str">
        <f>IF($D8="MiF ",IF($E8="2000m ",_xlfn.IFERROR(V8,VLOOKUP($I8,MiF_Courses!F$3:M$52,8,TRUE)-1),""),V8)</f>
        <v>FAUX</v>
      </c>
      <c r="V8" s="32" t="str">
        <f>IF($D8="MiF ",IF($E8="2000m ",VLOOKUP($I8,MiF_Courses!F$3:M$52,8,FALSE),""),"FAUX")</f>
        <v>FAUX</v>
      </c>
      <c r="W8" s="4" t="b">
        <f>IF($E8="80mH ",IF($D8="MiF ",_xlfn.IFERROR(X8,VLOOKUP(ROUNDUP($J8,1),MiF_Courses!H$3:M$52,6,TRUE)-1),X8))</f>
        <v>0</v>
      </c>
      <c r="X8" s="4" t="b">
        <f>IF($E8="80mH ",IF($D8="MiF ",VLOOKUP($J8,MiF_Courses!H$3:M$52,6,FALSE),""))</f>
        <v>0</v>
      </c>
      <c r="Y8" s="3" t="b">
        <f>IF($E8="200mH ",IF($D8="MiF ",_xlfn.IFERROR(Z8,VLOOKUP($L8,MiF_Courses!I$3:M$52,5,TRUE)-1),Z8))</f>
        <v>0</v>
      </c>
      <c r="Z8" s="26" t="str">
        <f>IF($E8="200mH ",IF($D8="MiF ",VLOOKUP($L8,MiF_Courses!I$3:M$52,5,FALSE),""),"FAUX")</f>
        <v>FAUX</v>
      </c>
      <c r="AA8" s="4" t="b">
        <f>IF($E8="3000m Marche ",IF($D8="MiF ",_xlfn.IFERROR(AB8,VLOOKUP($M8,MiF_Courses!J$3:M$52,4,TRUE)-1),AB8))</f>
        <v>0</v>
      </c>
      <c r="AB8" s="4" t="b">
        <f>IF($E8="3000m Marche ",IF($D8="MiF ",VLOOKUP($M8,MiF_Courses!J$3:M$52,4,FALSE),""),FALSE)</f>
        <v>0</v>
      </c>
      <c r="AC8" s="4" t="b">
        <f>IF($E8="80m ",IF($D8="MiM ",_xlfn.IFERROR(AD8,VLOOKUP($F8,MiM_Courses!C$3:M$52,11,TRUE)-1),AD8))</f>
        <v>0</v>
      </c>
      <c r="AD8" s="4" t="b">
        <f>IF($E8="80m ",IF($D8="MiM ",VLOOKUP($F8,MiM_Courses!C$3:M$52,11,FALSE),""),FALSE)</f>
        <v>0</v>
      </c>
      <c r="AE8" s="4" t="b">
        <f>IF($E8="120m ",IF($D8="MiM ",_xlfn.IFERROR(AF8,VLOOKUP($G8,MiM_Courses!D$3:M$52,10,TRUE)-1),AF8))</f>
        <v>0</v>
      </c>
      <c r="AF8" s="4" t="b">
        <f>IF($E8="120m ",IF($D8="MiM ",VLOOKUP($G8,MiM_Courses!D$3:M$52,10,FALSE),""),FALSE)</f>
        <v>0</v>
      </c>
      <c r="AG8" s="4" t="b">
        <f>IF($E8="1000m ",IF($D8="MiM ",_xlfn.IFERROR(AH8,VLOOKUP($H8,MiM_Courses!E$3:M$52,9,TRUE)-1),AH8))</f>
        <v>0</v>
      </c>
      <c r="AH8" s="75" t="str">
        <f>IF($E8="1000m ",IF($D8="MiM ",VLOOKUP($H8,MiM_Courses!E$3:M$52,9,FALSE),""),"FAUX")</f>
        <v>FAUX</v>
      </c>
      <c r="AI8" s="4" t="b">
        <f>IF($E8="2000m ",IF($D8="MiM ",_xlfn.IFERROR(AJ8,VLOOKUP($I8,MiM_Courses!F$3:M$52,8,TRUE)-1),AJ8))</f>
        <v>0</v>
      </c>
      <c r="AJ8" s="75" t="str">
        <f>IF($E8="2000m ",IF($D8="MiM ",VLOOKUP($I8,MiM_Courses!F$3:M$52,8,FALSE),""),"FAUX")</f>
        <v>FAUX</v>
      </c>
      <c r="AK8" s="4" t="b">
        <f>IF($E8="100mH ",IF($D8="MiM ",_xlfn.IFERROR(AL8,VLOOKUP($K8,MiM_Courses!H$3:M$52,6,"VRAI")-1),AL8))</f>
        <v>0</v>
      </c>
      <c r="AL8" s="75" t="str">
        <f>IF($E8="100mH ",IF($D8="MiM ",VLOOKUP(K8,MiM_Courses!H$3:M$51,6,FALSE),""),"FAUX")</f>
        <v>FAUX</v>
      </c>
      <c r="AM8" s="75" t="str">
        <f>IF($E8="200mH ",IF($D8="MiM ",_xlfn.IFERROR(AN8,VLOOKUP($L8,MiM_Courses!I$3:M$52,5,TRUE)-1),AN8),"FAUX")</f>
        <v>FAUX</v>
      </c>
      <c r="AN8" s="75" t="str">
        <f>IF($E8="200mH ",IF($D8="MiM ",VLOOKUP($L8,MiM_Courses!I$3:M$52,5,FALSE),""),"FAUX")</f>
        <v>FAUX</v>
      </c>
      <c r="AO8" s="75" t="str">
        <f>IF($E8="3000m Marche ",IF($D8="MiM ",_xlfn.IFERROR(AP8,VLOOKUP($M8,MiM_Courses!J$3:M$52,4,TRUE)-1),AP8),"FAUX")</f>
        <v>FAUX</v>
      </c>
      <c r="AP8" s="75" t="str">
        <f>IF($E8="3000m Marche ",IF($D8="MiM ",VLOOKUP($M8,MiM_Courses!J$3:M$52,4,FALSE),""),"FAUX")</f>
        <v>FAUX</v>
      </c>
      <c r="AR8" t="s">
        <v>153</v>
      </c>
    </row>
    <row r="9" spans="1:44" ht="15">
      <c r="A9" s="60"/>
      <c r="B9" s="46"/>
      <c r="C9" s="70"/>
      <c r="D9" s="67" t="s">
        <v>189</v>
      </c>
      <c r="E9" s="37"/>
      <c r="F9" s="171"/>
      <c r="G9" s="172"/>
      <c r="H9" s="167"/>
      <c r="I9" s="48"/>
      <c r="J9" s="48"/>
      <c r="K9" s="48"/>
      <c r="L9" s="48"/>
      <c r="M9" s="107"/>
      <c r="N9" s="61">
        <f>MAX(O9,Q9,S9,U9,W9,Y9,AA9,AC9,AE9,AG9,AI9,AK9,AM9,AO9)</f>
        <v>0</v>
      </c>
      <c r="O9" s="95" t="str">
        <f>IF($D9="MiF ",IF($E9="80m ",_xlfn.IFERROR(P9,VLOOKUP(F9,MiF_Courses!$C$3:$M$52,11,TRUE)-1),P9))</f>
        <v>faux</v>
      </c>
      <c r="P9" s="12" t="str">
        <f>IF($D9="MiF ",IF($E9="80m ",VLOOKUP($F9,MiF_Courses!$C$3:$M$52,11,FALSE),"faux"))</f>
        <v>faux</v>
      </c>
      <c r="Q9" s="95" t="str">
        <f>IF($D9="MiF ",IF($E9="120m ",_xlfn.IFERROR(R9,VLOOKUP($G9,MiF_Courses!D$3:M$52,10,TRUE)-1),""),R9)</f>
        <v/>
      </c>
      <c r="R9" s="32" t="str">
        <f>IF($D9="MiF ",IF($E9="120m ",VLOOKUP($G9,MiF_Courses!$D$3:$M$52,10,FALSE),""),"FAUX")</f>
        <v/>
      </c>
      <c r="S9" s="4" t="b">
        <f>IF($E9="1000m ",IF($D9="MiF ",_xlfn.IFERROR(T9,VLOOKUP(ROUNDUP($H9,1),MiF_Courses!E$3:M$52,9,TRUE)-1),T9))</f>
        <v>0</v>
      </c>
      <c r="T9" s="4" t="b">
        <f>IF($E9="1000m ",IF($D9="MiF ",VLOOKUP($H9,MiF_Courses!E$3:M$52,9,FALSE),""))</f>
        <v>0</v>
      </c>
      <c r="U9" s="4" t="str">
        <f>IF($D9="MiF ",IF($E9="2000m ",_xlfn.IFERROR(V9,VLOOKUP($I9,MiF_Courses!F$3:M$52,8,TRUE)-1),""),V9)</f>
        <v/>
      </c>
      <c r="V9" s="4" t="str">
        <f>IF($D9="MiF ",IF($E9="2000m ",VLOOKUP($I9,MiF_Courses!F$3:M$52,8,FALSE),""),"FAUX")</f>
        <v/>
      </c>
      <c r="W9" s="4" t="b">
        <f>IF($E9="80mH ",IF($D9="MiF ",_xlfn.IFERROR(X9,VLOOKUP(ROUNDUP($J9,1),MiF_Courses!H$3:M$52,6,TRUE)-1),X9))</f>
        <v>0</v>
      </c>
      <c r="X9" s="4" t="b">
        <f>IF($E9="80mH ",IF($D9="MiF ",VLOOKUP($J9,MiF_Courses!H$3:M$52,6,FALSE),""))</f>
        <v>0</v>
      </c>
      <c r="Y9" s="3" t="b">
        <f>IF($E9="200mH ",IF($D9="MiF ",_xlfn.IFERROR(Z9,VLOOKUP($L9,MiF_Courses!I$3:M$52,5,TRUE)-1),Z9))</f>
        <v>0</v>
      </c>
      <c r="Z9" s="26" t="str">
        <f>IF($E9="200mH ",IF($D9="MiF ",VLOOKUP($L9,MiF_Courses!I$3:M$52,5,FALSE),""),"FAUX")</f>
        <v>FAUX</v>
      </c>
      <c r="AA9" s="4" t="b">
        <f>IF($E9="3000m Marche ",IF($D9="MiF ",_xlfn.IFERROR(AB9,VLOOKUP($M9,MiF_Courses!J$3:M$52,4,TRUE)-1),AB9))</f>
        <v>0</v>
      </c>
      <c r="AB9" s="4" t="b">
        <f>IF($E9="3000m Marche ",IF($D9="MiF ",VLOOKUP($M9,MiF_Courses!J$3:M$52,4,FALSE),""),FALSE)</f>
        <v>0</v>
      </c>
      <c r="AC9" s="4" t="b">
        <f>IF($E9="80m ",IF($D9="MiM ",_xlfn.IFERROR(AD9,VLOOKUP($F9,MiM_Courses!C$3:M$52,11,TRUE)-1),AD9))</f>
        <v>0</v>
      </c>
      <c r="AD9" s="4" t="b">
        <f>IF($E9="80m ",IF($D9="MiM ",VLOOKUP($F9,MiM_Courses!C$3:M$52,11,FALSE),""),FALSE)</f>
        <v>0</v>
      </c>
      <c r="AE9" s="4" t="b">
        <f>IF($E9="120m ",IF($D9="MiM ",_xlfn.IFERROR(AF9,VLOOKUP($G9,MiM_Courses!D$3:M$52,10,TRUE)-1),AF9))</f>
        <v>0</v>
      </c>
      <c r="AF9" s="4" t="b">
        <f>IF($E9="120m ",IF($D9="MiM ",VLOOKUP($G9,MiM_Courses!D$3:M$52,10,FALSE),""),FALSE)</f>
        <v>0</v>
      </c>
      <c r="AG9" s="4" t="b">
        <f>IF($E9="1000m ",IF($D9="MiM ",_xlfn.IFERROR(AH9,VLOOKUP($H9,MiM_Courses!E$3:M$52,9,TRUE)-1),AH9))</f>
        <v>0</v>
      </c>
      <c r="AH9" s="75" t="str">
        <f>IF($E9="1000m ",IF($D9="MiM ",VLOOKUP($H9,MiM_Courses!E$3:M$52,9,FALSE),""),"FAUX")</f>
        <v>FAUX</v>
      </c>
      <c r="AI9" s="75" t="b">
        <f>IF($E9="2000m ",IF($D9="MiM ",_xlfn.IFERROR(AJ9,VLOOKUP($I9,MiM_Courses!F$3:M$52,8,TRUE)-1),AJ9))</f>
        <v>0</v>
      </c>
      <c r="AJ9" s="75" t="str">
        <f>IF($E9="2000m ",IF($D9="MiM ",VLOOKUP($I9,MiM_Courses!F$3:M$52,8,FALSE),""),"FAUX")</f>
        <v>FAUX</v>
      </c>
      <c r="AK9" s="4" t="b">
        <f>IF($E9="100mH ",IF($D9="MiM ",_xlfn.IFERROR(AL9,VLOOKUP($K9,MiM_Courses!H$3:M$52,6,"VRAI")-1),AL9))</f>
        <v>0</v>
      </c>
      <c r="AL9" s="75" t="str">
        <f>IF($E9="100mH ",IF($D9="MiM ",VLOOKUP(K9,MiM_Courses!H$3:M$51,6,FALSE),""),"FAUX")</f>
        <v>FAUX</v>
      </c>
      <c r="AM9" s="75" t="str">
        <f>IF($E9="200mH ",IF($D9="MiM ",_xlfn.IFERROR(AN9,VLOOKUP($L9,MiM_Courses!I$3:M$52,5,TRUE)-1),AN9),"FAUX")</f>
        <v>FAUX</v>
      </c>
      <c r="AN9" s="75" t="str">
        <f>IF($E9="200mH ",IF($D9="MiM ",VLOOKUP($L9,MiM_Courses!I$3:M$52,5,FALSE),""),"FAUX")</f>
        <v>FAUX</v>
      </c>
      <c r="AO9" s="75" t="str">
        <f>IF($E9="3000m Marche ",IF($D9="MiM ",_xlfn.IFERROR(AP9,VLOOKUP($M9,MiM_Courses!J$3:M$52,4,TRUE)-1),AP9),"FAUX")</f>
        <v>FAUX</v>
      </c>
      <c r="AP9" s="75" t="str">
        <f>IF($E9="3000m Marche ",IF($D9="MiM ",VLOOKUP($M9,MiM_Courses!J$3:M$52,4,FALSE),""),"FAUX")</f>
        <v>FAUX</v>
      </c>
      <c r="AR9" t="s">
        <v>154</v>
      </c>
    </row>
    <row r="10" spans="1:44" ht="15">
      <c r="A10" s="60"/>
      <c r="B10" s="46"/>
      <c r="C10" s="70"/>
      <c r="D10" s="67" t="s">
        <v>189</v>
      </c>
      <c r="E10" s="37"/>
      <c r="F10" s="171"/>
      <c r="G10" s="172"/>
      <c r="H10" s="167"/>
      <c r="I10" s="48"/>
      <c r="J10" s="48"/>
      <c r="K10" s="48"/>
      <c r="L10" s="48"/>
      <c r="M10" s="107"/>
      <c r="N10" s="61">
        <f>MAX(O10,Q10,S10,U10,W10,Y10,AA10,AC10,AE10,AG10,AI10,AK10,AM10,AO10)</f>
        <v>0</v>
      </c>
      <c r="O10" s="95" t="str">
        <f>IF($D10="MiF ",IF($E10="80m ",_xlfn.IFERROR(P10,VLOOKUP(F10,MiF_Courses!$C$3:$M$52,11,TRUE)-1),P10))</f>
        <v>faux</v>
      </c>
      <c r="P10" s="12" t="str">
        <f>IF($D10="MiF ",IF($E10="80m ",VLOOKUP($F10,MiF_Courses!$C$3:$M$52,11,FALSE),"faux"))</f>
        <v>faux</v>
      </c>
      <c r="Q10" s="95" t="str">
        <f>IF($D10="MiF ",IF($E10="120m ",_xlfn.IFERROR(R10,VLOOKUP($G10,MiF_Courses!D$3:M$52,10,TRUE)-1),""),R10)</f>
        <v/>
      </c>
      <c r="R10" s="32" t="str">
        <f>IF($D10="MiF ",IF($E10="120m ",VLOOKUP($G10,MiF_Courses!$D$3:$M$52,10,FALSE),""),"FAUX")</f>
        <v/>
      </c>
      <c r="S10" s="4" t="b">
        <f>IF($E10="1000m ",IF($D10="MiF ",_xlfn.IFERROR(T10,VLOOKUP(ROUNDUP($H10,1),MiF_Courses!E$3:M$52,9,TRUE)-1),T10))</f>
        <v>0</v>
      </c>
      <c r="T10" s="4" t="b">
        <f>IF($E10="1000m ",IF($D10="MiF ",VLOOKUP($H10,MiF_Courses!E$3:M$52,9,FALSE),""))</f>
        <v>0</v>
      </c>
      <c r="U10" s="4" t="str">
        <f>IF($D10="MiF ",IF($E10="2000m ",_xlfn.IFERROR(V10,VLOOKUP($I10,MiF_Courses!F$3:M$52,8,TRUE)-1),""),V10)</f>
        <v/>
      </c>
      <c r="V10" s="4" t="str">
        <f>IF($D10="MiF ",IF($E10="2000m ",VLOOKUP($I10,MiF_Courses!F$3:M$52,8,FALSE),""),"FAUX")</f>
        <v/>
      </c>
      <c r="W10" s="4" t="b">
        <f>IF($E10="80mH ",IF($D10="MiF ",_xlfn.IFERROR(X10,VLOOKUP(ROUNDUP($J10,1),MiF_Courses!H$3:M$52,6,TRUE)-1),X10))</f>
        <v>0</v>
      </c>
      <c r="X10" s="4" t="b">
        <f>IF($E10="80mH ",IF($D10="MiF ",VLOOKUP($J10,MiF_Courses!H$3:M$52,6,FALSE),""))</f>
        <v>0</v>
      </c>
      <c r="Y10" s="3" t="b">
        <f>IF($E10="200mH ",IF($D10="MiF ",_xlfn.IFERROR(Z10,VLOOKUP($L10,MiF_Courses!I$3:M$52,5,TRUE)-1),Z10))</f>
        <v>0</v>
      </c>
      <c r="Z10" s="26" t="str">
        <f>IF($E10="200mH ",IF($D10="MiF ",VLOOKUP($L10,MiF_Courses!I$3:M$52,5,FALSE),""),"FAUX")</f>
        <v>FAUX</v>
      </c>
      <c r="AA10" s="4" t="b">
        <f>IF($E10="3000m Marche ",IF($D10="MiF ",_xlfn.IFERROR(AB10,VLOOKUP($M10,MiF_Courses!J$3:M$52,4,TRUE)-1),AB10))</f>
        <v>0</v>
      </c>
      <c r="AB10" s="4" t="b">
        <f>IF($E10="3000m Marche ",IF($D10="MiF ",VLOOKUP($M10,MiF_Courses!J$3:M$52,4,FALSE),""),FALSE)</f>
        <v>0</v>
      </c>
      <c r="AC10" s="4" t="b">
        <f>IF($E10="80m ",IF($D10="MiM ",_xlfn.IFERROR(AD10,VLOOKUP($F10,MiM_Courses!C$3:M$52,11,TRUE)-1),AD10))</f>
        <v>0</v>
      </c>
      <c r="AD10" s="4" t="b">
        <f>IF($E10="80m ",IF($D10="MiM ",VLOOKUP($F10,MiM_Courses!C$3:M$52,11,FALSE),""),FALSE)</f>
        <v>0</v>
      </c>
      <c r="AE10" s="4" t="b">
        <f>IF($E10="120m ",IF($D10="MiM ",_xlfn.IFERROR(AF10,VLOOKUP($G10,MiM_Courses!D$3:M$52,10,TRUE)-1),AF10))</f>
        <v>0</v>
      </c>
      <c r="AF10" s="4" t="b">
        <f>IF($E10="120m ",IF($D10="MiM ",VLOOKUP($G10,MiM_Courses!D$3:M$52,10,FALSE),""),FALSE)</f>
        <v>0</v>
      </c>
      <c r="AG10" s="4" t="b">
        <f>IF($E10="1000m ",IF($D10="MiM ",_xlfn.IFERROR(AH10,VLOOKUP($H10,MiM_Courses!E$3:M$52,9,TRUE)-1),AH10))</f>
        <v>0</v>
      </c>
      <c r="AH10" s="75" t="str">
        <f>IF($E10="1000m ",IF($D10="MiM ",VLOOKUP($H10,MiM_Courses!E$3:M$52,9,FALSE),""),"FAUX")</f>
        <v>FAUX</v>
      </c>
      <c r="AI10" s="75" t="b">
        <f>IF($E10="2000m ",IF($D10="MiM ",_xlfn.IFERROR(AJ10,VLOOKUP($I10,MiM_Courses!F$3:M$52,8,TRUE)-1),AJ10))</f>
        <v>0</v>
      </c>
      <c r="AJ10" s="75" t="str">
        <f>IF($E10="2000m ",IF($D10="MiM ",VLOOKUP($I10,MiM_Courses!F$3:M$52,8,FALSE),""),"FAUX")</f>
        <v>FAUX</v>
      </c>
      <c r="AK10" s="4" t="b">
        <f>IF($E10="100mH ",IF($D10="MiM ",_xlfn.IFERROR(AL10,VLOOKUP($K10,MiM_Courses!H$3:M$52,6,"VRAI")-1),AL10))</f>
        <v>0</v>
      </c>
      <c r="AL10" s="75" t="str">
        <f>IF($E10="100mH ",IF($D10="MiM ",VLOOKUP(K10,MiM_Courses!H$3:M$51,6,FALSE),""),"FAUX")</f>
        <v>FAUX</v>
      </c>
      <c r="AM10" s="75" t="str">
        <f>IF($E10="200mH ",IF($D10="MiM ",_xlfn.IFERROR(AN10,VLOOKUP($L10,MiM_Courses!I$3:M$52,5,TRUE)-1),AN10),"FAUX")</f>
        <v>FAUX</v>
      </c>
      <c r="AN10" s="75" t="str">
        <f>IF($E10="200mH ",IF($D10="MiM ",VLOOKUP($L10,MiM_Courses!I$3:M$52,5,FALSE),""),"FAUX")</f>
        <v>FAUX</v>
      </c>
      <c r="AO10" s="75" t="str">
        <f>IF($E10="3000m Marche ",IF($D10="MiM ",_xlfn.IFERROR(AP10,VLOOKUP($M10,MiM_Courses!J$3:M$52,4,TRUE)-1),AP10),"FAUX")</f>
        <v>FAUX</v>
      </c>
      <c r="AP10" s="75" t="str">
        <f>IF($E10="3000m Marche ",IF($D10="MiM ",VLOOKUP($M10,MiM_Courses!J$3:M$52,4,FALSE),""),"FAUX")</f>
        <v>FAUX</v>
      </c>
      <c r="AR10" t="s">
        <v>68</v>
      </c>
    </row>
    <row r="11" spans="1:44" ht="15">
      <c r="A11" s="60"/>
      <c r="B11" s="46"/>
      <c r="C11" s="70"/>
      <c r="D11" s="67" t="s">
        <v>189</v>
      </c>
      <c r="E11" s="37"/>
      <c r="F11" s="171"/>
      <c r="G11" s="172"/>
      <c r="H11" s="167"/>
      <c r="I11" s="48"/>
      <c r="J11" s="48"/>
      <c r="K11" s="48"/>
      <c r="L11" s="48"/>
      <c r="M11" s="107"/>
      <c r="N11" s="61">
        <f aca="true" t="shared" si="0" ref="N11:N38">MAX(O11,Q11,S11,U11,W11,Y11,AA11,AC11,AE11,AG11,AI11,AK11,AM11,AO11)</f>
        <v>0</v>
      </c>
      <c r="O11" s="95" t="str">
        <f>IF($D11="MiF ",IF($E11="80m ",_xlfn.IFERROR(P11,VLOOKUP(F11,MiF_Courses!$C$3:$M$52,11,TRUE)-1),P11))</f>
        <v>faux</v>
      </c>
      <c r="P11" s="12" t="str">
        <f>IF($D11="MiF ",IF($E11="80m ",VLOOKUP($F11,MiF_Courses!$C$3:$M$52,11,FALSE),"faux"))</f>
        <v>faux</v>
      </c>
      <c r="Q11" s="95" t="str">
        <f>IF($D11="MiF ",IF($E11="120m ",_xlfn.IFERROR(R11,VLOOKUP($G11,MiF_Courses!D$3:M$52,10,TRUE)-1),""),R11)</f>
        <v/>
      </c>
      <c r="R11" s="32" t="str">
        <f>IF($D11="MiF ",IF($E11="120m ",VLOOKUP($G11,MiF_Courses!$D$3:$M$52,10,FALSE),""),"FAUX")</f>
        <v/>
      </c>
      <c r="S11" s="4" t="b">
        <f>IF($E11="1000m ",IF($D11="MiF ",_xlfn.IFERROR(T11,VLOOKUP(ROUNDUP($H11,1),MiF_Courses!E$3:M$52,9,TRUE)-1),T11))</f>
        <v>0</v>
      </c>
      <c r="T11" s="4" t="b">
        <f>IF($E11="1000m ",IF($D11="MiF ",VLOOKUP($H11,MiF_Courses!E$3:M$52,9,FALSE),""))</f>
        <v>0</v>
      </c>
      <c r="U11" s="4" t="str">
        <f>IF($D11="MiF ",IF($E11="2000m ",_xlfn.IFERROR(V11,VLOOKUP($I11,MiF_Courses!F$3:M$52,8,TRUE)-1),""),V11)</f>
        <v/>
      </c>
      <c r="V11" s="4" t="str">
        <f>IF($D11="MiF ",IF($E11="2000m ",VLOOKUP($I11,MiF_Courses!F$3:M$52,8,FALSE),""),"FAUX")</f>
        <v/>
      </c>
      <c r="W11" s="4" t="b">
        <f>IF($E11="80mH ",IF($D11="MiF ",_xlfn.IFERROR(X11,VLOOKUP(ROUNDUP($J11,1),MiF_Courses!H$3:M$52,6,TRUE)-1),X11))</f>
        <v>0</v>
      </c>
      <c r="X11" s="4" t="b">
        <f>IF($E11="80mH ",IF($D11="MiF ",VLOOKUP($J11,MiF_Courses!H$3:M$52,6,FALSE),""))</f>
        <v>0</v>
      </c>
      <c r="Y11" s="3" t="b">
        <f>IF($E11="200mH ",IF($D11="MiF ",_xlfn.IFERROR(Z11,VLOOKUP($L11,MiF_Courses!I$3:M$52,5,TRUE)-1),Z11))</f>
        <v>0</v>
      </c>
      <c r="Z11" s="26" t="str">
        <f>IF($E11="200mH ",IF($D11="MiF ",VLOOKUP($L11,MiF_Courses!I$3:M$52,5,FALSE),""),"FAUX")</f>
        <v>FAUX</v>
      </c>
      <c r="AA11" s="4" t="b">
        <f>IF($E11="3000m Marche ",IF($D11="MiF ",_xlfn.IFERROR(AB11,VLOOKUP($M11,MiF_Courses!J$3:M$52,4,TRUE)-1),AB11))</f>
        <v>0</v>
      </c>
      <c r="AB11" s="4" t="b">
        <f>IF($E11="3000m Marche ",IF($D11="MiF ",VLOOKUP($M11,MiF_Courses!J$3:M$52,4,FALSE),""),FALSE)</f>
        <v>0</v>
      </c>
      <c r="AC11" s="4" t="b">
        <f>IF($E11="80m ",IF($D11="MiM ",_xlfn.IFERROR(AD11,VLOOKUP($F11,MiM_Courses!C$3:M$52,11,TRUE)-1),AD11))</f>
        <v>0</v>
      </c>
      <c r="AD11" s="4" t="b">
        <f>IF($E11="80m ",IF($D11="MiM ",VLOOKUP($F11,MiM_Courses!C$3:M$52,11,FALSE),""),FALSE)</f>
        <v>0</v>
      </c>
      <c r="AE11" s="4" t="b">
        <f>IF($E11="120m ",IF($D11="MiM ",_xlfn.IFERROR(AF11,VLOOKUP($G11,MiM_Courses!D$3:M$52,10,TRUE)-1),AF11))</f>
        <v>0</v>
      </c>
      <c r="AF11" s="4" t="b">
        <f>IF($E11="120m ",IF($D11="MiM ",VLOOKUP($G11,MiM_Courses!D$3:M$52,10,FALSE),""),FALSE)</f>
        <v>0</v>
      </c>
      <c r="AG11" s="4" t="b">
        <f>IF($E11="1000m ",IF($D11="MiM ",_xlfn.IFERROR(AH11,VLOOKUP($H11,MiM_Courses!E$3:M$52,9,TRUE)-1),AH11))</f>
        <v>0</v>
      </c>
      <c r="AH11" s="75" t="str">
        <f>IF($E11="1000m ",IF($D11="MiM ",VLOOKUP($H11,MiM_Courses!E$3:M$52,9,FALSE),""),"FAUX")</f>
        <v>FAUX</v>
      </c>
      <c r="AI11" s="75" t="b">
        <f>IF($E11="2000m ",IF($D11="MiM ",_xlfn.IFERROR(AJ11,VLOOKUP($I11,MiM_Courses!F$3:M$52,8,TRUE)-1),AJ11))</f>
        <v>0</v>
      </c>
      <c r="AJ11" s="75" t="str">
        <f>IF($E11="2000m ",IF($D11="MiM ",VLOOKUP($I11,MiM_Courses!F$3:M$52,8,FALSE),""),"FAUX")</f>
        <v>FAUX</v>
      </c>
      <c r="AK11" s="4" t="b">
        <f>IF($E11="100mH ",IF($D11="MiM ",_xlfn.IFERROR(AL11,VLOOKUP($K11,MiM_Courses!H$3:M$52,6,"VRAI")-1),AL11))</f>
        <v>0</v>
      </c>
      <c r="AL11" s="75" t="str">
        <f>IF($E11="100mH ",IF($D11="MiM ",VLOOKUP(K11,MiM_Courses!H$3:M$51,6,FALSE),""),"FAUX")</f>
        <v>FAUX</v>
      </c>
      <c r="AM11" s="75" t="str">
        <f>IF($E11="200mH ",IF($D11="MiM ",_xlfn.IFERROR(AN11,VLOOKUP($L11,MiM_Courses!I$3:M$52,5,TRUE)-1),AN11),"FAUX")</f>
        <v>FAUX</v>
      </c>
      <c r="AN11" s="75" t="str">
        <f>IF($E11="200mH ",IF($D11="MiM ",VLOOKUP($L11,MiM_Courses!I$3:M$52,5,FALSE),""),"FAUX")</f>
        <v>FAUX</v>
      </c>
      <c r="AO11" s="75" t="str">
        <f>IF($E11="3000m Marche ",IF($D11="MiM ",_xlfn.IFERROR(AP11,VLOOKUP($M11,MiM_Courses!J$3:M$52,4,TRUE)-1),AP11),"FAUX")</f>
        <v>FAUX</v>
      </c>
      <c r="AP11" s="75" t="str">
        <f>IF($E11="3000m Marche ",IF($D11="MiM ",VLOOKUP($M11,MiM_Courses!J$3:M$52,4,FALSE),""),"FAUX")</f>
        <v>FAUX</v>
      </c>
      <c r="AR11" t="s">
        <v>188</v>
      </c>
    </row>
    <row r="12" spans="1:46" ht="15">
      <c r="A12" s="60"/>
      <c r="B12" s="46"/>
      <c r="C12" s="70"/>
      <c r="D12" s="67" t="s">
        <v>189</v>
      </c>
      <c r="E12" s="37"/>
      <c r="F12" s="171"/>
      <c r="G12" s="172"/>
      <c r="H12" s="167"/>
      <c r="I12" s="167"/>
      <c r="J12" s="176"/>
      <c r="K12" s="176"/>
      <c r="L12" s="176"/>
      <c r="M12" s="167"/>
      <c r="N12" s="61">
        <f t="shared" si="0"/>
        <v>0</v>
      </c>
      <c r="O12" s="95" t="str">
        <f>IF($D12="MiF ",IF($E12="80m ",_xlfn.IFERROR(P12,VLOOKUP(F12,MiF_Courses!$C$3:$M$52,11,TRUE)-1),P12))</f>
        <v>faux</v>
      </c>
      <c r="P12" s="12" t="str">
        <f>IF($D12="MiF ",IF($E12="80m ",VLOOKUP($F12,MiF_Courses!$C$3:$M$52,11,FALSE),"faux"))</f>
        <v>faux</v>
      </c>
      <c r="Q12" s="95" t="str">
        <f>IF($D12="MiF ",IF($E12="120m ",_xlfn.IFERROR(R12,VLOOKUP($G12,MiF_Courses!D$3:M$52,10,TRUE)-1),""),R12)</f>
        <v/>
      </c>
      <c r="R12" s="32" t="str">
        <f>IF($D12="MiF ",IF($E12="120m ",VLOOKUP($G12,MiF_Courses!$D$3:$M$52,10,FALSE),""),"FAUX")</f>
        <v/>
      </c>
      <c r="S12" s="4" t="b">
        <f>IF($E12="1000m ",IF($D12="MiF ",_xlfn.IFERROR(T12,VLOOKUP(ROUNDUP($H12,1),MiF_Courses!E$3:M$52,9,TRUE)-1),T12))</f>
        <v>0</v>
      </c>
      <c r="T12" s="4" t="b">
        <f>IF($E12="1000m ",IF($D12="MiF ",VLOOKUP($H12,MiF_Courses!E$3:M$52,9,FALSE),""))</f>
        <v>0</v>
      </c>
      <c r="U12" s="4" t="str">
        <f>IF($D12="MiF ",IF($E12="2000m ",_xlfn.IFERROR(V12,VLOOKUP($I12,MiF_Courses!F$3:M$52,8,TRUE)-1),""),V12)</f>
        <v/>
      </c>
      <c r="V12" s="4" t="str">
        <f>IF($D12="MiF ",IF($E12="2000m ",VLOOKUP($I12,MiF_Courses!F$3:M$52,8,FALSE),""),"FAUX")</f>
        <v/>
      </c>
      <c r="W12" s="4" t="b">
        <f>IF($E12="80mH ",IF($D12="MiF ",_xlfn.IFERROR(X12,VLOOKUP(ROUNDUP($J12,1),MiF_Courses!H$3:M$52,6,TRUE)-1),X12))</f>
        <v>0</v>
      </c>
      <c r="X12" s="4" t="b">
        <f>IF($E12="80mH ",IF($D12="MiF ",VLOOKUP($J12,MiF_Courses!H$3:M$52,6,FALSE),""))</f>
        <v>0</v>
      </c>
      <c r="Y12" s="3" t="b">
        <f>IF($E12="200mH ",IF($D12="MiF ",_xlfn.IFERROR(Z12,VLOOKUP($L12,MiF_Courses!I$3:M$52,5,TRUE)-1),Z12))</f>
        <v>0</v>
      </c>
      <c r="Z12" s="26" t="str">
        <f>IF($E12="200mH ",IF($D12="MiF ",VLOOKUP($L12,MiF_Courses!I$3:M$52,5,FALSE),""),"FAUX")</f>
        <v>FAUX</v>
      </c>
      <c r="AA12" s="4" t="b">
        <f>IF($E12="3000m Marche ",IF($D12="MiF ",_xlfn.IFERROR(AB12,VLOOKUP($M12,MiF_Courses!J$3:M$52,4,TRUE)-1),AB12))</f>
        <v>0</v>
      </c>
      <c r="AB12" s="4" t="b">
        <f>IF($E12="3000m Marche ",IF($D12="MiF ",VLOOKUP($M12,MiF_Courses!J$3:M$52,4,FALSE),""),FALSE)</f>
        <v>0</v>
      </c>
      <c r="AC12" s="4" t="b">
        <f>IF($E12="80m ",IF($D12="MiM ",_xlfn.IFERROR(AD12,VLOOKUP($F12,MiM_Courses!C$3:M$52,11,TRUE)-1),AD12))</f>
        <v>0</v>
      </c>
      <c r="AD12" s="4" t="b">
        <f>IF($E12="80m ",IF($D12="MiM ",VLOOKUP($F12,MiM_Courses!C$3:M$52,11,FALSE),""),FALSE)</f>
        <v>0</v>
      </c>
      <c r="AE12" s="4" t="b">
        <f>IF($E12="120m ",IF($D12="MiM ",_xlfn.IFERROR(AF12,VLOOKUP($G12,MiM_Courses!D$3:M$52,10,TRUE)-1),AF12))</f>
        <v>0</v>
      </c>
      <c r="AF12" s="4" t="b">
        <f>IF($E12="120m ",IF($D12="MiM ",VLOOKUP($G12,MiM_Courses!D$3:M$52,10,FALSE),""),FALSE)</f>
        <v>0</v>
      </c>
      <c r="AG12" s="4" t="b">
        <f>IF($E12="1000m ",IF($D12="MiM ",_xlfn.IFERROR(AH12,VLOOKUP($H12,MiM_Courses!E$3:M$52,9,TRUE)-1),AH12))</f>
        <v>0</v>
      </c>
      <c r="AH12" s="75" t="str">
        <f>IF($E12="1000m ",IF($D12="MiM ",VLOOKUP($H12,MiM_Courses!E$3:M$52,9,FALSE),""),"FAUX")</f>
        <v>FAUX</v>
      </c>
      <c r="AI12" s="75" t="b">
        <f>IF($E12="2000m ",IF($D12="MiM ",_xlfn.IFERROR(AJ12,VLOOKUP($I12,MiM_Courses!F$3:M$52,8,TRUE)-1),AJ12))</f>
        <v>0</v>
      </c>
      <c r="AJ12" s="75" t="str">
        <f>IF($E12="2000m ",IF($D12="MiM ",VLOOKUP($I12,MiM_Courses!F$3:M$52,8,FALSE),""),"FAUX")</f>
        <v>FAUX</v>
      </c>
      <c r="AK12" s="4" t="b">
        <f>IF($E12="100mH ",IF($D12="MiM ",_xlfn.IFERROR(AL12,VLOOKUP($K12,MiM_Courses!H$3:M$52,6,"VRAI")-1),AL12))</f>
        <v>0</v>
      </c>
      <c r="AL12" s="75" t="str">
        <f>IF($E12="100mH ",IF($D12="MiM ",VLOOKUP(K12,MiM_Courses!H$3:M$51,6,FALSE),""),"FAUX")</f>
        <v>FAUX</v>
      </c>
      <c r="AM12" s="75" t="str">
        <f>IF($E12="200mH ",IF($D12="MiM ",_xlfn.IFERROR(AN12,VLOOKUP($L12,MiM_Courses!I$3:M$52,5,TRUE)-1),AN12),"FAUX")</f>
        <v>FAUX</v>
      </c>
      <c r="AN12" s="75" t="str">
        <f>IF($E12="200mH ",IF($D12="MiM ",VLOOKUP($L12,MiM_Courses!I$3:M$52,5,FALSE),""),"FAUX")</f>
        <v>FAUX</v>
      </c>
      <c r="AO12" s="75" t="str">
        <f>IF($E12="3000m Marche ",IF($D12="MiM ",_xlfn.IFERROR(AP12,VLOOKUP($M12,MiM_Courses!J$3:M$52,4,TRUE)-1),AP12),"FAUX")</f>
        <v>FAUX</v>
      </c>
      <c r="AP12" s="75" t="str">
        <f>IF($E12="3000m Marche ",IF($D12="MiM ",VLOOKUP($M12,MiM_Courses!J$3:M$52,4,FALSE),""),"FAUX")</f>
        <v>FAUX</v>
      </c>
      <c r="AR12" t="s">
        <v>155</v>
      </c>
      <c r="AT12" t="s">
        <v>157</v>
      </c>
    </row>
    <row r="13" spans="1:46" ht="15">
      <c r="A13" s="60"/>
      <c r="B13" s="46"/>
      <c r="C13" s="70"/>
      <c r="D13" s="67" t="s">
        <v>189</v>
      </c>
      <c r="E13" s="37"/>
      <c r="F13" s="171"/>
      <c r="G13" s="172"/>
      <c r="H13" s="167"/>
      <c r="I13" s="167"/>
      <c r="J13" s="176"/>
      <c r="K13" s="176"/>
      <c r="L13" s="176"/>
      <c r="M13" s="167"/>
      <c r="N13" s="61">
        <f t="shared" si="0"/>
        <v>0</v>
      </c>
      <c r="O13" s="95" t="str">
        <f>IF($D13="MiF ",IF($E13="80m ",_xlfn.IFERROR(P13,VLOOKUP(F13,MiF_Courses!$C$3:$M$52,11,TRUE)-1),P13))</f>
        <v>faux</v>
      </c>
      <c r="P13" s="12" t="str">
        <f>IF($D13="MiF ",IF($E13="80m ",VLOOKUP($F13,MiF_Courses!$C$3:$M$52,11,FALSE),"faux"))</f>
        <v>faux</v>
      </c>
      <c r="Q13" s="95" t="str">
        <f>IF($D13="MiF ",IF($E13="120m ",_xlfn.IFERROR(R13,VLOOKUP($G13,MiF_Courses!D$3:M$52,10,TRUE)-1),""),R13)</f>
        <v/>
      </c>
      <c r="R13" s="32" t="str">
        <f>IF($D13="MiF ",IF($E13="120m ",VLOOKUP($G13,MiF_Courses!$D$3:$M$52,10,FALSE),""),"FAUX")</f>
        <v/>
      </c>
      <c r="S13" s="4" t="b">
        <f>IF($E13="1000m ",IF($D13="MiF ",_xlfn.IFERROR(T13,VLOOKUP(ROUNDUP($H13,1),MiF_Courses!E$3:M$52,9,TRUE)-1),T13))</f>
        <v>0</v>
      </c>
      <c r="T13" s="4" t="b">
        <f>IF($E13="1000m ",IF($D13="MiF ",VLOOKUP($H13,MiF_Courses!E$3:M$52,9,FALSE),""))</f>
        <v>0</v>
      </c>
      <c r="U13" s="4" t="str">
        <f>IF($D13="MiF ",IF($E13="2000m ",_xlfn.IFERROR(V13,VLOOKUP($I13,MiF_Courses!F$3:M$52,8,TRUE)-1),""),V13)</f>
        <v/>
      </c>
      <c r="V13" s="4" t="str">
        <f>IF($D13="MiF ",IF($E13="2000m ",VLOOKUP($I13,MiF_Courses!F$3:M$52,8,FALSE),""),"FAUX")</f>
        <v/>
      </c>
      <c r="W13" s="4" t="b">
        <f>IF($E13="80mH ",IF($D13="MiF ",_xlfn.IFERROR(X13,VLOOKUP(ROUNDUP($J13,1),MiF_Courses!H$3:M$52,6,TRUE)-1),X13))</f>
        <v>0</v>
      </c>
      <c r="X13" s="4" t="b">
        <f>IF($E13="80mH ",IF($D13="MiF ",VLOOKUP($J13,MiF_Courses!H$3:M$52,6,FALSE),""))</f>
        <v>0</v>
      </c>
      <c r="Y13" s="3" t="b">
        <f>IF($E13="200mH ",IF($D13="MiF ",_xlfn.IFERROR(Z13,VLOOKUP($L13,MiF_Courses!I$3:M$52,5,TRUE)-1),Z13))</f>
        <v>0</v>
      </c>
      <c r="Z13" s="26" t="str">
        <f>IF($E13="200mH ",IF($D13="MiF ",VLOOKUP($L13,MiF_Courses!I$3:M$52,5,FALSE),""),"FAUX")</f>
        <v>FAUX</v>
      </c>
      <c r="AA13" s="4" t="b">
        <f>IF($E13="3000m Marche ",IF($D13="MiF ",_xlfn.IFERROR(AB13,VLOOKUP($M13,MiF_Courses!J$3:M$52,4,TRUE)-1),AB13))</f>
        <v>0</v>
      </c>
      <c r="AB13" s="4" t="b">
        <f>IF($E13="3000m Marche ",IF($D13="MiF ",VLOOKUP($M13,MiF_Courses!J$3:M$52,4,FALSE),""),FALSE)</f>
        <v>0</v>
      </c>
      <c r="AC13" s="4" t="b">
        <f>IF($E13="80m ",IF($D13="MiM ",_xlfn.IFERROR(AD13,VLOOKUP($F13,MiM_Courses!C$3:M$52,11,TRUE)-1),AD13))</f>
        <v>0</v>
      </c>
      <c r="AD13" s="4" t="b">
        <f>IF($E13="80m ",IF($D13="MiM ",VLOOKUP($F13,MiM_Courses!C$3:M$52,11,FALSE),""),FALSE)</f>
        <v>0</v>
      </c>
      <c r="AE13" s="4" t="b">
        <f>IF($E13="120m ",IF($D13="MiM ",_xlfn.IFERROR(AF13,VLOOKUP($G13,MiM_Courses!D$3:M$52,10,TRUE)-1),AF13))</f>
        <v>0</v>
      </c>
      <c r="AF13" s="4" t="b">
        <f>IF($E13="120m ",IF($D13="MiM ",VLOOKUP($G13,MiM_Courses!D$3:M$52,10,FALSE),""),FALSE)</f>
        <v>0</v>
      </c>
      <c r="AG13" s="4" t="b">
        <f>IF($E13="1000m ",IF($D13="MiM ",_xlfn.IFERROR(AH13,VLOOKUP($H13,MiM_Courses!E$3:M$52,9,TRUE)-1),AH13))</f>
        <v>0</v>
      </c>
      <c r="AH13" s="75" t="str">
        <f>IF($E13="1000m ",IF($D13="MiM ",VLOOKUP($H13,MiM_Courses!E$3:M$52,9,FALSE),""),"FAUX")</f>
        <v>FAUX</v>
      </c>
      <c r="AI13" s="75" t="b">
        <f>IF($E13="2000m ",IF($D13="MiM ",_xlfn.IFERROR(AJ13,VLOOKUP($I13,MiM_Courses!F$3:M$52,8,TRUE)-1),AJ13))</f>
        <v>0</v>
      </c>
      <c r="AJ13" s="75" t="str">
        <f>IF($E13="2000m ",IF($D13="MiM ",VLOOKUP($I13,MiM_Courses!F$3:M$52,8,FALSE),""),"FAUX")</f>
        <v>FAUX</v>
      </c>
      <c r="AK13" s="4" t="b">
        <f>IF($E13="100mH ",IF($D13="MiM ",_xlfn.IFERROR(AL13,VLOOKUP($K13,MiM_Courses!H$3:M$52,6,"VRAI")-1),AL13))</f>
        <v>0</v>
      </c>
      <c r="AL13" s="75" t="str">
        <f>IF($E13="100mH ",IF($D13="MiM ",VLOOKUP(K13,MiM_Courses!H$3:M$51,6,FALSE),""),"FAUX")</f>
        <v>FAUX</v>
      </c>
      <c r="AM13" s="75" t="str">
        <f>IF($E13="200mH ",IF($D13="MiM ",_xlfn.IFERROR(AN13,VLOOKUP($L13,MiM_Courses!I$3:M$52,5,TRUE)-1),AN13),"FAUX")</f>
        <v>FAUX</v>
      </c>
      <c r="AN13" s="75" t="str">
        <f>IF($E13="200mH ",IF($D13="MiM ",VLOOKUP($L13,MiM_Courses!I$3:M$52,5,FALSE),""),"FAUX")</f>
        <v>FAUX</v>
      </c>
      <c r="AO13" s="75" t="str">
        <f>IF($E13="3000m Marche ",IF($D13="MiM ",_xlfn.IFERROR(AP13,VLOOKUP($M13,MiM_Courses!J$3:M$52,4,TRUE)-1),AP13),"FAUX")</f>
        <v>FAUX</v>
      </c>
      <c r="AP13" s="75" t="str">
        <f>IF($E13="3000m Marche ",IF($D13="MiM ",VLOOKUP($M13,MiM_Courses!J$3:M$52,4,FALSE),""),"FAUX")</f>
        <v>FAUX</v>
      </c>
      <c r="AR13" t="s">
        <v>158</v>
      </c>
      <c r="AT13" t="s">
        <v>159</v>
      </c>
    </row>
    <row r="14" spans="1:46" ht="15">
      <c r="A14" s="60"/>
      <c r="B14" s="46"/>
      <c r="C14" s="70"/>
      <c r="D14" s="67" t="s">
        <v>189</v>
      </c>
      <c r="E14" s="37"/>
      <c r="F14" s="171"/>
      <c r="G14" s="172"/>
      <c r="H14" s="167"/>
      <c r="I14" s="167"/>
      <c r="J14" s="176"/>
      <c r="K14" s="176"/>
      <c r="L14" s="176"/>
      <c r="M14" s="167"/>
      <c r="N14" s="61">
        <f t="shared" si="0"/>
        <v>0</v>
      </c>
      <c r="O14" s="95" t="str">
        <f>IF($D14="MiF ",IF($E14="80m ",_xlfn.IFERROR(P14,VLOOKUP(F14,MiF_Courses!$C$3:$M$52,11,TRUE)-1),P14))</f>
        <v>faux</v>
      </c>
      <c r="P14" s="12" t="str">
        <f>IF($D14="MiF ",IF($E14="80m ",VLOOKUP($F14,MiF_Courses!$C$3:$M$52,11,FALSE),"faux"))</f>
        <v>faux</v>
      </c>
      <c r="Q14" s="95" t="str">
        <f>IF($D14="MiF ",IF($E14="120m ",_xlfn.IFERROR(R14,VLOOKUP($G14,MiF_Courses!D$3:M$52,10,TRUE)-1),""),R14)</f>
        <v/>
      </c>
      <c r="R14" s="32" t="str">
        <f>IF($D14="MiF ",IF($E14="120m ",VLOOKUP($G14,MiF_Courses!$D$3:$M$52,10,FALSE),""),"FAUX")</f>
        <v/>
      </c>
      <c r="S14" s="4" t="b">
        <f>IF($E14="1000m ",IF($D14="MiF ",_xlfn.IFERROR(T14,VLOOKUP(ROUNDUP($H14,1),MiF_Courses!E$3:M$52,9,TRUE)-1),T14))</f>
        <v>0</v>
      </c>
      <c r="T14" s="4" t="b">
        <f>IF($E14="1000m ",IF($D14="MiF ",VLOOKUP($H14,MiF_Courses!E$3:M$52,9,FALSE),""))</f>
        <v>0</v>
      </c>
      <c r="U14" s="4" t="str">
        <f>IF($D14="MiF ",IF($E14="2000m ",_xlfn.IFERROR(V14,VLOOKUP($I14,MiF_Courses!F$3:M$52,8,TRUE)-1),""),V14)</f>
        <v/>
      </c>
      <c r="V14" s="4" t="str">
        <f>IF($D14="MiF ",IF($E14="2000m ",VLOOKUP($I14,MiF_Courses!F$3:M$52,8,FALSE),""),"FAUX")</f>
        <v/>
      </c>
      <c r="W14" s="4" t="b">
        <f>IF($E14="80mH ",IF($D14="MiF ",_xlfn.IFERROR(X14,VLOOKUP(ROUNDUP($J14,1),MiF_Courses!H$3:M$52,6,TRUE)-1),X14))</f>
        <v>0</v>
      </c>
      <c r="X14" s="4" t="b">
        <f>IF($E14="80mH ",IF($D14="MiF ",VLOOKUP($J14,MiF_Courses!H$3:M$52,6,FALSE),""))</f>
        <v>0</v>
      </c>
      <c r="Y14" s="3" t="b">
        <f>IF($E14="200mH ",IF($D14="MiF ",_xlfn.IFERROR(Z14,VLOOKUP($L14,MiF_Courses!I$3:M$52,5,TRUE)-1),Z14))</f>
        <v>0</v>
      </c>
      <c r="Z14" s="26" t="str">
        <f>IF($E14="200mH ",IF($D14="MiF ",VLOOKUP($L14,MiF_Courses!I$3:M$52,5,FALSE),""),"FAUX")</f>
        <v>FAUX</v>
      </c>
      <c r="AA14" s="4" t="b">
        <f>IF($E14="3000m Marche ",IF($D14="MiF ",_xlfn.IFERROR(AB14,VLOOKUP($M14,MiF_Courses!J$3:M$52,4,TRUE)-1),AB14))</f>
        <v>0</v>
      </c>
      <c r="AB14" s="4" t="b">
        <f>IF($E14="3000m Marche ",IF($D14="MiF ",VLOOKUP($M14,MiF_Courses!J$3:M$52,4,FALSE),""),FALSE)</f>
        <v>0</v>
      </c>
      <c r="AC14" s="4" t="b">
        <f>IF($E14="80m ",IF($D14="MiM ",_xlfn.IFERROR(AD14,VLOOKUP($F14,MiM_Courses!C$3:M$52,11,TRUE)-1),AD14))</f>
        <v>0</v>
      </c>
      <c r="AD14" s="4" t="b">
        <f>IF($E14="80m ",IF($D14="MiM ",VLOOKUP($F14,MiM_Courses!C$3:M$52,11,FALSE),""),FALSE)</f>
        <v>0</v>
      </c>
      <c r="AE14" s="4" t="b">
        <f>IF($E14="120m ",IF($D14="MiM ",_xlfn.IFERROR(AF14,VLOOKUP($G14,MiM_Courses!D$3:M$52,10,TRUE)-1),AF14))</f>
        <v>0</v>
      </c>
      <c r="AF14" s="4" t="b">
        <f>IF($E14="120m ",IF($D14="MiM ",VLOOKUP($G14,MiM_Courses!D$3:M$52,10,FALSE),""),FALSE)</f>
        <v>0</v>
      </c>
      <c r="AG14" s="4" t="b">
        <f>IF($E14="1000m ",IF($D14="MiM ",_xlfn.IFERROR(AH14,VLOOKUP($H14,MiM_Courses!E$3:M$52,9,TRUE)-1),AH14))</f>
        <v>0</v>
      </c>
      <c r="AH14" s="75" t="str">
        <f>IF($E14="1000m ",IF($D14="MiM ",VLOOKUP($H14,MiM_Courses!E$3:M$52,9,FALSE),""),"FAUX")</f>
        <v>FAUX</v>
      </c>
      <c r="AI14" s="75" t="b">
        <f>IF($E14="2000m ",IF($D14="MiM ",_xlfn.IFERROR(AJ14,VLOOKUP($I14,MiM_Courses!F$3:M$52,8,TRUE)-1),AJ14))</f>
        <v>0</v>
      </c>
      <c r="AJ14" s="75" t="str">
        <f>IF($E14="2000m ",IF($D14="MiM ",VLOOKUP($I14,MiM_Courses!F$3:M$52,8,FALSE),""),"FAUX")</f>
        <v>FAUX</v>
      </c>
      <c r="AK14" s="4" t="b">
        <f>IF($E14="100mH ",IF($D14="MiM ",_xlfn.IFERROR(AL14,VLOOKUP($K14,MiM_Courses!H$3:M$52,6,"VRAI")-1),AL14))</f>
        <v>0</v>
      </c>
      <c r="AL14" s="75" t="str">
        <f>IF($E14="100mH ",IF($D14="MiM ",VLOOKUP(K14,MiM_Courses!H$3:M$51,6,FALSE),""),"FAUX")</f>
        <v>FAUX</v>
      </c>
      <c r="AM14" s="75" t="str">
        <f>IF($E14="200mH ",IF($D14="MiM ",_xlfn.IFERROR(AN14,VLOOKUP($L14,MiM_Courses!I$3:M$52,5,TRUE)-1),AN14),"FAUX")</f>
        <v>FAUX</v>
      </c>
      <c r="AN14" s="75" t="str">
        <f>IF($E14="200mH ",IF($D14="MiM ",VLOOKUP($L14,MiM_Courses!I$3:M$52,5,FALSE),""),"FAUX")</f>
        <v>FAUX</v>
      </c>
      <c r="AO14" s="75" t="str">
        <f>IF($E14="3000m Marche ",IF($D14="MiM ",_xlfn.IFERROR(AP14,VLOOKUP($M14,MiM_Courses!J$3:M$52,4,TRUE)-1),AP14),"FAUX")</f>
        <v>FAUX</v>
      </c>
      <c r="AP14" s="75" t="str">
        <f>IF($E14="3000m Marche ",IF($D14="MiM ",VLOOKUP($M14,MiM_Courses!J$3:M$52,4,FALSE),""),"FAUX")</f>
        <v>FAUX</v>
      </c>
      <c r="AR14" t="s">
        <v>70</v>
      </c>
      <c r="AT14" t="s">
        <v>157</v>
      </c>
    </row>
    <row r="15" spans="1:44" ht="15">
      <c r="A15" s="60"/>
      <c r="B15" s="46"/>
      <c r="C15" s="70"/>
      <c r="D15" s="67" t="s">
        <v>190</v>
      </c>
      <c r="E15" s="37"/>
      <c r="F15" s="171"/>
      <c r="G15" s="172"/>
      <c r="H15" s="167"/>
      <c r="I15" s="167"/>
      <c r="J15" s="176"/>
      <c r="K15" s="176"/>
      <c r="L15" s="176"/>
      <c r="M15" s="167"/>
      <c r="N15" s="61">
        <f t="shared" si="0"/>
        <v>0</v>
      </c>
      <c r="O15" s="95" t="b">
        <f>IF($D15="MiF ",IF($E15="80m ",_xlfn.IFERROR(P15,VLOOKUP(F15,MiF_Courses!$C$3:$M$52,11,TRUE)-1),P15))</f>
        <v>0</v>
      </c>
      <c r="P15" s="12" t="b">
        <f>IF($D15="MiF ",IF($E15="80m ",VLOOKUP($F15,MiF_Courses!$C$3:$M$52,11,FALSE),"faux"))</f>
        <v>0</v>
      </c>
      <c r="Q15" s="95" t="str">
        <f>IF($D15="MiF ",IF($E15="120m ",_xlfn.IFERROR(R15,VLOOKUP($G15,MiF_Courses!D$3:M$52,10,TRUE)-1),""),R15)</f>
        <v>FAUX</v>
      </c>
      <c r="R15" s="32" t="str">
        <f>IF($D15="MiF ",IF($E15="120m ",VLOOKUP($G15,MiF_Courses!$D$3:$M$52,10,FALSE),""),"FAUX")</f>
        <v>FAUX</v>
      </c>
      <c r="S15" s="4" t="b">
        <f>IF($E15="1000m ",IF($D15="MiF ",_xlfn.IFERROR(T15,VLOOKUP(ROUNDUP($H15,1),MiF_Courses!E$3:M$52,9,TRUE)-1),T15))</f>
        <v>0</v>
      </c>
      <c r="T15" s="4" t="b">
        <f>IF($E15="1000m ",IF($D15="MiF ",VLOOKUP($H15,MiF_Courses!E$3:M$52,9,FALSE),""))</f>
        <v>0</v>
      </c>
      <c r="U15" s="4" t="str">
        <f>IF($D15="MiF ",IF($E15="2000m ",_xlfn.IFERROR(V15,VLOOKUP($I15,MiF_Courses!F$3:M$52,8,TRUE)-1),""),V15)</f>
        <v>FAUX</v>
      </c>
      <c r="V15" s="4" t="str">
        <f>IF($D15="MiF ",IF($E15="2000m ",VLOOKUP($I15,MiF_Courses!F$3:M$52,8,FALSE),""),"FAUX")</f>
        <v>FAUX</v>
      </c>
      <c r="W15" s="4" t="b">
        <f>IF($E15="80mH ",IF($D15="MiF ",_xlfn.IFERROR(X15,VLOOKUP(ROUNDUP($J15,1),MiF_Courses!H$3:M$52,6,TRUE)-1),X15))</f>
        <v>0</v>
      </c>
      <c r="X15" s="4" t="b">
        <f>IF($E15="80mH ",IF($D15="MiF ",VLOOKUP($J15,MiF_Courses!H$3:M$52,6,FALSE),""))</f>
        <v>0</v>
      </c>
      <c r="Y15" s="3" t="b">
        <f>IF($E15="200mH ",IF($D15="MiF ",_xlfn.IFERROR(Z15,VLOOKUP($L15,MiF_Courses!I$3:M$52,5,TRUE)-1),Z15))</f>
        <v>0</v>
      </c>
      <c r="Z15" s="26" t="str">
        <f>IF($E15="200mH ",IF($D15="MiF ",VLOOKUP($L15,MiF_Courses!I$3:M$52,5,FALSE),""),"FAUX")</f>
        <v>FAUX</v>
      </c>
      <c r="AA15" s="4" t="b">
        <f>IF($E15="3000m Marche ",IF($D15="MiF ",_xlfn.IFERROR(AB15,VLOOKUP($M15,MiF_Courses!J$3:M$52,4,TRUE)-1),AB15))</f>
        <v>0</v>
      </c>
      <c r="AB15" s="4" t="b">
        <f>IF($E15="3000m Marche ",IF($D15="MiF ",VLOOKUP($M15,MiF_Courses!J$3:M$52,4,FALSE),""),FALSE)</f>
        <v>0</v>
      </c>
      <c r="AC15" s="4" t="b">
        <f>IF($E15="80m ",IF($D15="MiM ",_xlfn.IFERROR(AD15,VLOOKUP($F15,MiM_Courses!C$3:M$52,11,TRUE)-1),AD15))</f>
        <v>0</v>
      </c>
      <c r="AD15" s="4" t="b">
        <f>IF($E15="80m ",IF($D15="MiM ",VLOOKUP($F15,MiM_Courses!C$3:M$52,11,FALSE),""),FALSE)</f>
        <v>0</v>
      </c>
      <c r="AE15" s="4" t="b">
        <f>IF($E15="120m ",IF($D15="MiM ",_xlfn.IFERROR(AF15,VLOOKUP($G15,MiM_Courses!D$3:M$52,10,TRUE)-1),AF15))</f>
        <v>0</v>
      </c>
      <c r="AF15" s="4" t="b">
        <f>IF($E15="120m ",IF($D15="MiM ",VLOOKUP($G15,MiM_Courses!D$3:M$52,10,FALSE),""),FALSE)</f>
        <v>0</v>
      </c>
      <c r="AG15" s="4" t="b">
        <f>IF($E15="1000m ",IF($D15="MiM ",_xlfn.IFERROR(AH15,VLOOKUP($H15,MiM_Courses!E$3:M$52,9,TRUE)-1),AH15))</f>
        <v>0</v>
      </c>
      <c r="AH15" s="75" t="str">
        <f>IF($E15="1000m ",IF($D15="MiM ",VLOOKUP($H15,MiM_Courses!E$3:M$52,9,FALSE),""),"FAUX")</f>
        <v>FAUX</v>
      </c>
      <c r="AI15" s="75" t="b">
        <f>IF($E15="2000m ",IF($D15="MiM ",_xlfn.IFERROR(AJ15,VLOOKUP($I15,MiM_Courses!F$3:M$52,8,TRUE)-1),AJ15))</f>
        <v>0</v>
      </c>
      <c r="AJ15" s="75" t="str">
        <f>IF($E15="2000m ",IF($D15="MiM ",VLOOKUP($I15,MiM_Courses!F$3:M$52,8,FALSE),""),"FAUX")</f>
        <v>FAUX</v>
      </c>
      <c r="AK15" s="4" t="b">
        <f>IF($E15="100mH ",IF($D15="MiM ",_xlfn.IFERROR(AL15,VLOOKUP($K15,MiM_Courses!H$3:M$52,6,"VRAI")-1),AL15))</f>
        <v>0</v>
      </c>
      <c r="AL15" s="75" t="str">
        <f>IF($E15="100mH ",IF($D15="MiM ",VLOOKUP(K15,MiM_Courses!H$3:M$51,6,FALSE),""),"FAUX")</f>
        <v>FAUX</v>
      </c>
      <c r="AM15" s="75" t="str">
        <f>IF($E15="200mH ",IF($D15="MiM ",_xlfn.IFERROR(AN15,VLOOKUP($L15,MiM_Courses!I$3:M$52,5,TRUE)-1),AN15),"FAUX")</f>
        <v>FAUX</v>
      </c>
      <c r="AN15" s="75" t="str">
        <f>IF($E15="200mH ",IF($D15="MiM ",VLOOKUP($L15,MiM_Courses!I$3:M$52,5,FALSE),""),"FAUX")</f>
        <v>FAUX</v>
      </c>
      <c r="AO15" s="75" t="str">
        <f>IF($E15="3000m Marche ",IF($D15="MiM ",_xlfn.IFERROR(AP15,VLOOKUP($M15,MiM_Courses!J$3:M$52,4,TRUE)-1),AP15),"FAUX")</f>
        <v>FAUX</v>
      </c>
      <c r="AP15" s="75" t="str">
        <f>IF($E15="3000m Marche ",IF($D15="MiM ",VLOOKUP($M15,MiM_Courses!J$3:M$52,4,FALSE),""),"FAUX")</f>
        <v>FAUX</v>
      </c>
      <c r="AR15" t="s">
        <v>156</v>
      </c>
    </row>
    <row r="16" spans="1:42" ht="15">
      <c r="A16" s="60"/>
      <c r="B16" s="46"/>
      <c r="C16" s="70"/>
      <c r="D16" s="67" t="s">
        <v>190</v>
      </c>
      <c r="E16" s="37"/>
      <c r="F16" s="171"/>
      <c r="G16" s="172"/>
      <c r="H16" s="167"/>
      <c r="I16" s="167"/>
      <c r="J16" s="176"/>
      <c r="K16" s="176"/>
      <c r="L16" s="176"/>
      <c r="M16" s="167"/>
      <c r="N16" s="61">
        <f t="shared" si="0"/>
        <v>0</v>
      </c>
      <c r="O16" s="95" t="b">
        <f>IF($D16="MiF ",IF($E16="80m ",_xlfn.IFERROR(P16,VLOOKUP(F16,MiF_Courses!$C$3:$M$52,11,TRUE)-1),P16))</f>
        <v>0</v>
      </c>
      <c r="P16" s="12" t="b">
        <f>IF($D16="MiF ",IF($E16="80m ",VLOOKUP($F16,MiF_Courses!$C$3:$M$52,11,FALSE),"faux"))</f>
        <v>0</v>
      </c>
      <c r="Q16" s="95" t="str">
        <f>IF($D16="MiF ",IF($E16="120m ",_xlfn.IFERROR(R16,VLOOKUP($G16,MiF_Courses!D$3:M$52,10,TRUE)-1),""),R16)</f>
        <v>FAUX</v>
      </c>
      <c r="R16" s="32" t="str">
        <f>IF($D16="MiF ",IF($E16="120m ",VLOOKUP($G16,MiF_Courses!$D$3:$M$52,10,FALSE),""),"FAUX")</f>
        <v>FAUX</v>
      </c>
      <c r="S16" s="4" t="b">
        <f>IF($E16="1000m ",IF($D16="MiF ",_xlfn.IFERROR(T16,VLOOKUP(ROUNDUP($H16,1),MiF_Courses!E$3:M$52,9,TRUE)-1),T16))</f>
        <v>0</v>
      </c>
      <c r="T16" s="4" t="b">
        <f>IF($E16="1000m ",IF($D16="MiF ",VLOOKUP($H16,MiF_Courses!E$3:M$52,9,FALSE),""))</f>
        <v>0</v>
      </c>
      <c r="U16" s="4" t="str">
        <f>IF($D16="MiF ",IF($E16="2000m ",_xlfn.IFERROR(V16,VLOOKUP($I16,MiF_Courses!F$3:M$52,8,TRUE)-1),""),V16)</f>
        <v>FAUX</v>
      </c>
      <c r="V16" s="4" t="str">
        <f>IF($D16="MiF ",IF($E16="2000m ",VLOOKUP($I16,MiF_Courses!F$3:M$52,8,FALSE),""),"FAUX")</f>
        <v>FAUX</v>
      </c>
      <c r="W16" s="4" t="b">
        <f>IF($E16="80mH ",IF($D16="MiF ",_xlfn.IFERROR(X16,VLOOKUP(ROUNDUP($J16,1),MiF_Courses!H$3:M$52,6,TRUE)-1),X16))</f>
        <v>0</v>
      </c>
      <c r="X16" s="4" t="b">
        <f>IF($E16="80mH ",IF($D16="MiF ",VLOOKUP($J16,MiF_Courses!H$3:M$52,6,FALSE),""))</f>
        <v>0</v>
      </c>
      <c r="Y16" s="3" t="b">
        <f>IF($E16="200mH ",IF($D16="MiF ",_xlfn.IFERROR(Z16,VLOOKUP($L16,MiF_Courses!I$3:M$52,5,TRUE)-1),Z16))</f>
        <v>0</v>
      </c>
      <c r="Z16" s="26" t="str">
        <f>IF($E16="200mH ",IF($D16="MiF ",VLOOKUP($L16,MiF_Courses!I$3:M$52,5,FALSE),""),"FAUX")</f>
        <v>FAUX</v>
      </c>
      <c r="AA16" s="4" t="b">
        <f>IF($E16="3000m Marche ",IF($D16="MiF ",_xlfn.IFERROR(AB16,VLOOKUP($M16,MiF_Courses!J$3:M$52,4,TRUE)-1),AB16))</f>
        <v>0</v>
      </c>
      <c r="AB16" s="4" t="b">
        <f>IF($E16="3000m Marche ",IF($D16="MiF ",VLOOKUP($M16,MiF_Courses!J$3:M$52,4,FALSE),""),FALSE)</f>
        <v>0</v>
      </c>
      <c r="AC16" s="4" t="b">
        <f>IF($E16="80m ",IF($D16="MiM ",_xlfn.IFERROR(AD16,VLOOKUP($F16,MiM_Courses!C$3:M$52,11,TRUE)-1),AD16))</f>
        <v>0</v>
      </c>
      <c r="AD16" s="4" t="b">
        <f>IF($E16="80m ",IF($D16="MiM ",VLOOKUP($F16,MiM_Courses!C$3:M$52,11,FALSE),""),FALSE)</f>
        <v>0</v>
      </c>
      <c r="AE16" s="4" t="b">
        <f>IF($E16="120m ",IF($D16="MiM ",_xlfn.IFERROR(AF16,VLOOKUP($G16,MiM_Courses!D$3:M$52,10,TRUE)-1),AF16))</f>
        <v>0</v>
      </c>
      <c r="AF16" s="4" t="b">
        <f>IF($E16="120m ",IF($D16="MiM ",VLOOKUP($G16,MiM_Courses!D$3:M$52,10,FALSE),""),FALSE)</f>
        <v>0</v>
      </c>
      <c r="AG16" s="4" t="b">
        <f>IF($E16="1000m ",IF($D16="MiM ",_xlfn.IFERROR(AH16,VLOOKUP($H16,MiM_Courses!E$3:M$52,9,TRUE)-1),AH16))</f>
        <v>0</v>
      </c>
      <c r="AH16" s="75" t="str">
        <f>IF($E16="1000m ",IF($D16="MiM ",VLOOKUP($H16,MiM_Courses!E$3:M$52,9,FALSE),""),"FAUX")</f>
        <v>FAUX</v>
      </c>
      <c r="AI16" s="75" t="b">
        <f>IF($E16="2000m ",IF($D16="MiM ",_xlfn.IFERROR(AJ16,VLOOKUP($I16,MiM_Courses!F$3:M$52,8,TRUE)-1),AJ16))</f>
        <v>0</v>
      </c>
      <c r="AJ16" s="75" t="str">
        <f>IF($E16="2000m ",IF($D16="MiM ",VLOOKUP($I16,MiM_Courses!F$3:M$52,8,FALSE),""),"FAUX")</f>
        <v>FAUX</v>
      </c>
      <c r="AK16" s="4" t="b">
        <f>IF($E16="100mH ",IF($D16="MiM ",_xlfn.IFERROR(AL16,VLOOKUP($K16,MiM_Courses!H$3:M$52,6,"VRAI")-1),AL16))</f>
        <v>0</v>
      </c>
      <c r="AL16" s="75" t="str">
        <f>IF($E16="100mH ",IF($D16="MiM ",VLOOKUP(K16,MiM_Courses!H$3:M$51,6,FALSE),""),"FAUX")</f>
        <v>FAUX</v>
      </c>
      <c r="AM16" s="75" t="str">
        <f>IF($E16="200mH ",IF($D16="MiM ",_xlfn.IFERROR(AN16,VLOOKUP($L16,MiM_Courses!I$3:M$52,5,TRUE)-1),AN16),"FAUX")</f>
        <v>FAUX</v>
      </c>
      <c r="AN16" s="75" t="str">
        <f>IF($E16="200mH ",IF($D16="MiM ",VLOOKUP($L16,MiM_Courses!I$3:M$52,5,FALSE),""),"FAUX")</f>
        <v>FAUX</v>
      </c>
      <c r="AO16" s="75" t="str">
        <f>IF($E16="3000m Marche ",IF($D16="MiM ",_xlfn.IFERROR(AP16,VLOOKUP($M16,MiM_Courses!J$3:M$52,4,TRUE)-1),AP16),"FAUX")</f>
        <v>FAUX</v>
      </c>
      <c r="AP16" s="75" t="str">
        <f>IF($E16="3000m Marche ",IF($D16="MiM ",VLOOKUP($M16,MiM_Courses!J$3:M$52,4,FALSE),""),"FAUX")</f>
        <v>FAUX</v>
      </c>
    </row>
    <row r="17" spans="1:42" ht="15">
      <c r="A17" s="60"/>
      <c r="B17" s="46"/>
      <c r="C17" s="70"/>
      <c r="D17" s="67" t="s">
        <v>190</v>
      </c>
      <c r="E17" s="37"/>
      <c r="F17" s="171"/>
      <c r="G17" s="172"/>
      <c r="H17" s="167"/>
      <c r="I17" s="167"/>
      <c r="J17" s="176"/>
      <c r="K17" s="176"/>
      <c r="L17" s="176"/>
      <c r="M17" s="167"/>
      <c r="N17" s="61">
        <f>MAX(O17,Q17,S17,U17,W17,Y17,AA17,AC17,AE17,AG17,AI17,AK17,AM17,AO17)</f>
        <v>0</v>
      </c>
      <c r="O17" s="95" t="b">
        <f>IF($D17="MiF ",IF($E17="80m ",_xlfn.IFERROR(P17,VLOOKUP(F17,MiF_Courses!$C$3:$M$52,11,TRUE)-1),P17))</f>
        <v>0</v>
      </c>
      <c r="P17" s="12" t="b">
        <f>IF($D17="MiF ",IF($E17="80m ",VLOOKUP($F17,MiF_Courses!$C$3:$M$52,11,FALSE),"faux"))</f>
        <v>0</v>
      </c>
      <c r="Q17" s="95" t="str">
        <f>IF($D17="MiF ",IF($E17="120m ",_xlfn.IFERROR(R17,VLOOKUP($G17,MiF_Courses!D$3:M$52,10,TRUE)-1),""),R17)</f>
        <v>FAUX</v>
      </c>
      <c r="R17" s="32" t="str">
        <f>IF($D17="MiF ",IF($E17="120m ",VLOOKUP($G17,MiF_Courses!$D$3:$M$52,10,FALSE),""),"FAUX")</f>
        <v>FAUX</v>
      </c>
      <c r="S17" s="4" t="b">
        <f>IF($E17="1000m ",IF($D17="MiF ",_xlfn.IFERROR(T17,VLOOKUP(ROUNDUP($H17,1),MiF_Courses!E$3:M$52,9,TRUE)-1),T17))</f>
        <v>0</v>
      </c>
      <c r="T17" s="4" t="b">
        <f>IF($E17="1000m ",IF($D17="MiF ",VLOOKUP($H17,MiF_Courses!E$3:M$52,9,FALSE),""))</f>
        <v>0</v>
      </c>
      <c r="U17" s="4" t="str">
        <f>IF($D17="MiF ",IF($E17="2000m ",_xlfn.IFERROR(V17,VLOOKUP($I17,MiF_Courses!F$3:M$52,8,TRUE)-1),""),V17)</f>
        <v>FAUX</v>
      </c>
      <c r="V17" s="4" t="str">
        <f>IF($D17="MiF ",IF($E17="2000m ",VLOOKUP($I17,MiF_Courses!F$3:M$52,8,FALSE),""),"FAUX")</f>
        <v>FAUX</v>
      </c>
      <c r="W17" s="4" t="b">
        <f>IF($E17="80mH ",IF($D17="MiF ",_xlfn.IFERROR(X17,VLOOKUP(ROUNDUP($J17,1),MiF_Courses!H$3:M$52,6,TRUE)-1),X17))</f>
        <v>0</v>
      </c>
      <c r="X17" s="4" t="b">
        <f>IF($E17="80mH ",IF($D17="MiF ",VLOOKUP($J17,MiF_Courses!H$3:M$52,6,FALSE),""))</f>
        <v>0</v>
      </c>
      <c r="Y17" s="3" t="b">
        <f>IF($E17="200mH ",IF($D17="MiF ",_xlfn.IFERROR(Z17,VLOOKUP($L17,MiF_Courses!I$3:M$52,5,TRUE)-1),Z17))</f>
        <v>0</v>
      </c>
      <c r="Z17" s="26" t="str">
        <f>IF($E17="200mH ",IF($D17="MiF ",VLOOKUP($L17,MiF_Courses!I$3:M$52,5,FALSE),""),"FAUX")</f>
        <v>FAUX</v>
      </c>
      <c r="AA17" s="4" t="b">
        <f>IF($E17="3000m Marche ",IF($D17="MiF ",_xlfn.IFERROR(AB17,VLOOKUP($M17,MiF_Courses!J$3:M$52,4,TRUE)-1),AB17))</f>
        <v>0</v>
      </c>
      <c r="AB17" s="4" t="b">
        <f>IF($E17="3000m Marche ",IF($D17="MiF ",VLOOKUP($M17,MiF_Courses!J$3:M$52,4,FALSE),""),FALSE)</f>
        <v>0</v>
      </c>
      <c r="AC17" s="4" t="b">
        <f>IF($E17="80m ",IF($D17="MiM ",_xlfn.IFERROR(AD17,VLOOKUP($F17,MiM_Courses!C$3:M$52,11,TRUE)-1),AD17))</f>
        <v>0</v>
      </c>
      <c r="AD17" s="4" t="b">
        <f>IF($E17="80m ",IF($D17="MiM ",VLOOKUP($F17,MiM_Courses!C$3:M$52,11,FALSE),""),FALSE)</f>
        <v>0</v>
      </c>
      <c r="AE17" s="4" t="b">
        <f>IF($E17="120m ",IF($D17="MiM ",_xlfn.IFERROR(AF17,VLOOKUP($G17,MiM_Courses!D$3:M$52,10,TRUE)-1),AF17))</f>
        <v>0</v>
      </c>
      <c r="AF17" s="4" t="b">
        <f>IF($E17="120m ",IF($D17="MiM ",VLOOKUP($G17,MiM_Courses!D$3:M$52,10,FALSE),""),FALSE)</f>
        <v>0</v>
      </c>
      <c r="AG17" s="4" t="b">
        <f>IF($E17="1000m ",IF($D17="MiM ",_xlfn.IFERROR(AH17,VLOOKUP($H17,MiM_Courses!E$3:M$52,9,TRUE)-1),AH17))</f>
        <v>0</v>
      </c>
      <c r="AH17" s="75" t="str">
        <f>IF($E17="1000m ",IF($D17="MiM ",VLOOKUP($H17,MiM_Courses!E$3:M$52,9,FALSE),""),"FAUX")</f>
        <v>FAUX</v>
      </c>
      <c r="AI17" s="75" t="b">
        <f>IF($E17="2000m ",IF($D17="MiM ",_xlfn.IFERROR(AJ17,VLOOKUP($I17,MiM_Courses!F$3:M$52,8,TRUE)-1),AJ17))</f>
        <v>0</v>
      </c>
      <c r="AJ17" s="75" t="str">
        <f>IF($E17="2000m ",IF($D17="MiM ",VLOOKUP($I17,MiM_Courses!F$3:M$52,8,FALSE),""),"FAUX")</f>
        <v>FAUX</v>
      </c>
      <c r="AK17" s="4" t="b">
        <f>IF($E17="100mH ",IF($D17="MiM ",_xlfn.IFERROR(AL17,VLOOKUP($K17,MiM_Courses!H$3:M$52,6,"VRAI")-1),AL17))</f>
        <v>0</v>
      </c>
      <c r="AL17" s="75" t="str">
        <f>IF($E17="100mH ",IF($D17="MiM ",VLOOKUP(K17,MiM_Courses!H$3:M$51,6,FALSE),""),"FAUX")</f>
        <v>FAUX</v>
      </c>
      <c r="AM17" s="75" t="str">
        <f>IF($E17="200mH ",IF($D17="MiM ",_xlfn.IFERROR(AN17,VLOOKUP($L17,MiM_Courses!I$3:M$52,5,TRUE)-1),AN17),"FAUX")</f>
        <v>FAUX</v>
      </c>
      <c r="AN17" s="75" t="str">
        <f>IF($E17="200mH ",IF($D17="MiM ",VLOOKUP($L17,MiM_Courses!I$3:M$52,5,FALSE),""),"FAUX")</f>
        <v>FAUX</v>
      </c>
      <c r="AO17" s="75" t="str">
        <f>IF($E17="3000m Marche ",IF($D17="MiM ",_xlfn.IFERROR(AP17,VLOOKUP($M17,MiM_Courses!J$3:M$52,4,TRUE)-1),AP17),"FAUX")</f>
        <v>FAUX</v>
      </c>
      <c r="AP17" s="75" t="str">
        <f>IF($E17="3000m Marche ",IF($D17="MiM ",VLOOKUP($M17,MiM_Courses!J$3:M$52,4,FALSE),""),"FAUX")</f>
        <v>FAUX</v>
      </c>
    </row>
    <row r="18" spans="1:42" ht="15">
      <c r="A18" s="60"/>
      <c r="B18" s="46"/>
      <c r="C18" s="70"/>
      <c r="D18" s="67" t="s">
        <v>190</v>
      </c>
      <c r="E18" s="37"/>
      <c r="F18" s="171"/>
      <c r="G18" s="172"/>
      <c r="H18" s="167"/>
      <c r="I18" s="48"/>
      <c r="J18" s="48"/>
      <c r="K18" s="48"/>
      <c r="L18" s="48"/>
      <c r="M18" s="107"/>
      <c r="N18" s="61">
        <f t="shared" si="0"/>
        <v>0</v>
      </c>
      <c r="O18" s="95" t="b">
        <f>IF($D18="MiF ",IF($E18="80m ",_xlfn.IFERROR(P18,VLOOKUP(F18,MiF_Courses!$C$3:$M$52,11,TRUE)-1),P18))</f>
        <v>0</v>
      </c>
      <c r="P18" s="12" t="b">
        <f>IF($D18="MiF ",IF($E18="80m ",VLOOKUP($F18,MiF_Courses!$C$3:$M$52,11,FALSE),"faux"))</f>
        <v>0</v>
      </c>
      <c r="Q18" s="95" t="str">
        <f>IF($D18="MiF ",IF($E18="120m ",_xlfn.IFERROR(R18,VLOOKUP($G18,MiF_Courses!D$3:M$52,10,TRUE)-1),""),R18)</f>
        <v>FAUX</v>
      </c>
      <c r="R18" s="32" t="str">
        <f>IF($D18="MiF ",IF($E18="120m ",VLOOKUP($G18,MiF_Courses!$D$3:$M$52,10,FALSE),""),"FAUX")</f>
        <v>FAUX</v>
      </c>
      <c r="S18" s="4" t="b">
        <f>IF($E18="1000m ",IF($D18="MiF ",_xlfn.IFERROR(T18,VLOOKUP(ROUNDUP($H18,1),MiF_Courses!E$3:M$52,9,TRUE)-1),T18))</f>
        <v>0</v>
      </c>
      <c r="T18" s="4" t="b">
        <f>IF($E18="1000m ",IF($D18="MiF ",VLOOKUP($H18,MiF_Courses!E$3:M$52,9,FALSE),""))</f>
        <v>0</v>
      </c>
      <c r="U18" s="4" t="str">
        <f>IF($D18="MiF ",IF($E18="2000m ",_xlfn.IFERROR(V18,VLOOKUP($I18,MiF_Courses!F$3:M$52,8,TRUE)-1),""),V18)</f>
        <v>FAUX</v>
      </c>
      <c r="V18" s="4" t="str">
        <f>IF($D18="MiF ",IF($E18="2000m ",VLOOKUP($I18,MiF_Courses!F$3:M$52,8,FALSE),""),"FAUX")</f>
        <v>FAUX</v>
      </c>
      <c r="W18" s="4" t="b">
        <f>IF($E18="80mH ",IF($D18="MiF ",_xlfn.IFERROR(X18,VLOOKUP(ROUNDUP($J18,1),MiF_Courses!H$3:M$52,6,TRUE)-1),X18))</f>
        <v>0</v>
      </c>
      <c r="X18" s="4" t="b">
        <f>IF($E18="80mH ",IF($D18="MiF ",VLOOKUP($J18,MiF_Courses!H$3:M$52,6,FALSE),""))</f>
        <v>0</v>
      </c>
      <c r="Y18" s="3" t="b">
        <f>IF($E18="200mH ",IF($D18="MiF ",_xlfn.IFERROR(Z18,VLOOKUP($L18,MiF_Courses!I$3:M$52,5,TRUE)-1),Z18))</f>
        <v>0</v>
      </c>
      <c r="Z18" s="26" t="str">
        <f>IF($E18="200mH ",IF($D18="MiF ",VLOOKUP($L18,MiF_Courses!I$3:M$52,5,FALSE),""),"FAUX")</f>
        <v>FAUX</v>
      </c>
      <c r="AA18" s="4" t="b">
        <f>IF($E18="3000m Marche ",IF($D18="MiF ",_xlfn.IFERROR(AB18,VLOOKUP($M18,MiF_Courses!J$3:M$52,4,TRUE)-1),AB18))</f>
        <v>0</v>
      </c>
      <c r="AB18" s="4" t="b">
        <f>IF($E18="3000m Marche ",IF($D18="MiF ",VLOOKUP($M18,MiF_Courses!J$3:M$52,4,FALSE),""),FALSE)</f>
        <v>0</v>
      </c>
      <c r="AC18" s="4" t="b">
        <f>IF($E18="80m ",IF($D18="MiM ",_xlfn.IFERROR(AD18,VLOOKUP($F18,MiM_Courses!C$3:M$52,11,TRUE)-1),AD18))</f>
        <v>0</v>
      </c>
      <c r="AD18" s="4" t="b">
        <f>IF($E18="80m ",IF($D18="MiM ",VLOOKUP($F18,MiM_Courses!C$3:M$52,11,FALSE),""),FALSE)</f>
        <v>0</v>
      </c>
      <c r="AE18" s="4" t="b">
        <f>IF($E18="120m ",IF($D18="MiM ",_xlfn.IFERROR(AF18,VLOOKUP($G18,MiM_Courses!D$3:M$52,10,TRUE)-1),AF18))</f>
        <v>0</v>
      </c>
      <c r="AF18" s="4" t="b">
        <f>IF($E18="120m ",IF($D18="MiM ",VLOOKUP($G18,MiM_Courses!D$3:M$52,10,FALSE),""),FALSE)</f>
        <v>0</v>
      </c>
      <c r="AG18" s="4" t="b">
        <f>IF($E18="1000m ",IF($D18="MiM ",_xlfn.IFERROR(AH18,VLOOKUP($H18,MiM_Courses!E$3:M$52,9,TRUE)-1),AH18))</f>
        <v>0</v>
      </c>
      <c r="AH18" s="75" t="str">
        <f>IF($E18="1000m ",IF($D18="MiM ",VLOOKUP($H18,MiM_Courses!E$3:M$52,9,FALSE),""),"FAUX")</f>
        <v>FAUX</v>
      </c>
      <c r="AI18" s="75" t="b">
        <f>IF($E18="2000m ",IF($D18="MiM ",_xlfn.IFERROR(AJ18,VLOOKUP($I18,MiM_Courses!F$3:M$52,8,TRUE)-1),AJ18))</f>
        <v>0</v>
      </c>
      <c r="AJ18" s="75" t="str">
        <f>IF($E18="2000m ",IF($D18="MiM ",VLOOKUP($I18,MiM_Courses!F$3:M$52,8,FALSE),""),"FAUX")</f>
        <v>FAUX</v>
      </c>
      <c r="AK18" s="4" t="b">
        <f>IF($E18="100mH ",IF($D18="MiM ",_xlfn.IFERROR(AL18,VLOOKUP($K18,MiM_Courses!H$3:M$52,6,"VRAI")-1),AL18))</f>
        <v>0</v>
      </c>
      <c r="AL18" s="75" t="str">
        <f>IF($E18="100mH ",IF($D18="MiM ",VLOOKUP(K18,MiM_Courses!H$3:M$51,6,FALSE),""),"FAUX")</f>
        <v>FAUX</v>
      </c>
      <c r="AM18" s="75" t="str">
        <f>IF($E18="200mH ",IF($D18="MiM ",_xlfn.IFERROR(AN18,VLOOKUP($L18,MiM_Courses!I$3:M$52,5,TRUE)-1),AN18),"FAUX")</f>
        <v>FAUX</v>
      </c>
      <c r="AN18" s="75" t="str">
        <f>IF($E18="200mH ",IF($D18="MiM ",VLOOKUP($L18,MiM_Courses!I$3:M$52,5,FALSE),""),"FAUX")</f>
        <v>FAUX</v>
      </c>
      <c r="AO18" s="75" t="str">
        <f>IF($E18="3000m Marche ",IF($D18="MiM ",_xlfn.IFERROR(AP18,VLOOKUP($M18,MiM_Courses!J$3:M$52,4,TRUE)-1),AP18),"FAUX")</f>
        <v>FAUX</v>
      </c>
      <c r="AP18" s="75" t="str">
        <f>IF($E18="3000m Marche ",IF($D18="MiM ",VLOOKUP($M18,MiM_Courses!J$3:M$52,4,FALSE),""),"FAUX")</f>
        <v>FAUX</v>
      </c>
    </row>
    <row r="19" spans="1:42" ht="15">
      <c r="A19" s="60"/>
      <c r="B19" s="46"/>
      <c r="C19" s="70"/>
      <c r="D19" s="67" t="s">
        <v>190</v>
      </c>
      <c r="E19" s="37"/>
      <c r="F19" s="171"/>
      <c r="G19" s="172"/>
      <c r="H19" s="167"/>
      <c r="I19" s="48"/>
      <c r="J19" s="48"/>
      <c r="K19" s="48"/>
      <c r="L19" s="48"/>
      <c r="M19" s="107"/>
      <c r="N19" s="61">
        <f t="shared" si="0"/>
        <v>0</v>
      </c>
      <c r="O19" s="95" t="b">
        <f>IF($D19="MiF ",IF($E19="80m ",_xlfn.IFERROR(P19,VLOOKUP(F19,MiF_Courses!$C$3:$M$52,11,TRUE)-1),P19))</f>
        <v>0</v>
      </c>
      <c r="P19" s="12" t="str">
        <f>IF($D19="MiF ",IF($E19="80m ",VLOOKUP($F19,MiF_Courses!$C$3:$M$52,11,FALSE),"faux"),"")</f>
        <v/>
      </c>
      <c r="Q19" s="95" t="str">
        <f>IF($D19="MiF ",IF($E19="120m ",_xlfn.IFERROR(R19,VLOOKUP($G19,MiF_Courses!D$3:M$52,10,TRUE)-1),""),R19)</f>
        <v>FAUX</v>
      </c>
      <c r="R19" s="32" t="str">
        <f>IF($D19="MiF ",IF($E19="120m ",VLOOKUP($G19,MiF_Courses!$D$3:$M$52,10,FALSE),""),"FAUX")</f>
        <v>FAUX</v>
      </c>
      <c r="S19" s="4" t="b">
        <f>IF($E19="1000m ",IF($D19="MiF ",_xlfn.IFERROR(T19,VLOOKUP(ROUNDUP($H19,1),MiF_Courses!E$3:M$52,9,TRUE)-1),T19))</f>
        <v>0</v>
      </c>
      <c r="T19" s="4" t="b">
        <f>IF($E19="1000m ",IF($D19="MiF ",VLOOKUP($H19,MiF_Courses!E$3:M$52,9,FALSE),""))</f>
        <v>0</v>
      </c>
      <c r="U19" s="4" t="str">
        <f>IF($D19="MiF ",IF($E19="2000m ",_xlfn.IFERROR(V19,VLOOKUP($I19,MiF_Courses!F$3:M$52,8,TRUE)-1),""),V19)</f>
        <v>FAUX</v>
      </c>
      <c r="V19" s="4" t="str">
        <f>IF($D19="MiF ",IF($E19="2000m ",VLOOKUP($I19,MiF_Courses!F$3:M$52,8,FALSE),""),"FAUX")</f>
        <v>FAUX</v>
      </c>
      <c r="W19" s="4" t="b">
        <f>IF($E19="80mH ",IF($D19="MiF ",_xlfn.IFERROR(X19,VLOOKUP(ROUNDUP($J19,1),MiF_Courses!H$3:M$52,6,TRUE)-1),X19))</f>
        <v>0</v>
      </c>
      <c r="X19" s="4" t="b">
        <f>IF($E19="80mH ",IF($D19="MiF ",VLOOKUP($J19,MiF_Courses!H$3:M$52,6,FALSE),""))</f>
        <v>0</v>
      </c>
      <c r="Y19" s="3" t="b">
        <f>IF($E19="200mH ",IF($D19="MiF ",_xlfn.IFERROR(Z19,VLOOKUP($L19,MiF_Courses!I$3:M$52,5,TRUE)-1),Z19))</f>
        <v>0</v>
      </c>
      <c r="Z19" s="26" t="str">
        <f>IF($E19="200mH ",IF($D19="MiF ",VLOOKUP($L19,MiF_Courses!I$3:M$52,5,FALSE),""),"FAUX")</f>
        <v>FAUX</v>
      </c>
      <c r="AA19" s="4" t="b">
        <f>IF($E19="3000m Marche ",IF($D19="MiF ",_xlfn.IFERROR(AB19,VLOOKUP($M19,MiF_Courses!J$3:M$52,4,TRUE)-1),AB19))</f>
        <v>0</v>
      </c>
      <c r="AB19" s="4" t="b">
        <f>IF($E19="3000m Marche ",IF($D19="MiF ",VLOOKUP($M19,MiF_Courses!J$3:M$52,4,FALSE),""),FALSE)</f>
        <v>0</v>
      </c>
      <c r="AC19" s="4" t="b">
        <f>IF($E19="80m ",IF($D19="MiM ",_xlfn.IFERROR(AD19,VLOOKUP($F19,MiM_Courses!C$3:M$52,11,TRUE)-1),AD19))</f>
        <v>0</v>
      </c>
      <c r="AD19" s="4" t="b">
        <f>IF($E19="80m ",IF($D19="MiM ",VLOOKUP($F19,MiM_Courses!C$3:M$52,11,FALSE),""),FALSE)</f>
        <v>0</v>
      </c>
      <c r="AE19" s="4" t="b">
        <f>IF($E19="120m ",IF($D19="MiM ",_xlfn.IFERROR(AF19,VLOOKUP($G19,MiM_Courses!D$3:M$52,10,TRUE)-1),AF19))</f>
        <v>0</v>
      </c>
      <c r="AF19" s="4" t="b">
        <f>IF($E19="120m ",IF($D19="MiM ",VLOOKUP($G19,MiM_Courses!D$3:M$52,10,FALSE),""),FALSE)</f>
        <v>0</v>
      </c>
      <c r="AG19" s="4" t="b">
        <f>IF($E19="1000m ",IF($D19="MiM ",_xlfn.IFERROR(AH19,VLOOKUP($H19,MiM_Courses!E$3:M$52,9,TRUE)-1),AH19))</f>
        <v>0</v>
      </c>
      <c r="AH19" s="75" t="str">
        <f>IF($E19="1000m ",IF($D19="MiM ",VLOOKUP($H19,MiM_Courses!E$3:M$52,9,FALSE),""),"FAUX")</f>
        <v>FAUX</v>
      </c>
      <c r="AI19" s="75" t="b">
        <f>IF($E19="2000m ",IF($D19="MiM ",_xlfn.IFERROR(AJ19,VLOOKUP($I19,MiM_Courses!F$3:M$52,8,TRUE)-1),AJ19))</f>
        <v>0</v>
      </c>
      <c r="AJ19" s="75" t="str">
        <f>IF($E19="2000m ",IF($D19="MiM ",VLOOKUP($I19,MiM_Courses!F$3:M$52,8,FALSE),""),"FAUX")</f>
        <v>FAUX</v>
      </c>
      <c r="AK19" s="4" t="b">
        <f>IF($E19="100mH ",IF($D19="MiM ",_xlfn.IFERROR(AL19,VLOOKUP($K19,MiM_Courses!H$3:M$52,6,"VRAI")-1),AL19))</f>
        <v>0</v>
      </c>
      <c r="AL19" s="75" t="str">
        <f>IF($E19="100mH ",IF($D19="MiM ",VLOOKUP(K19,MiM_Courses!H$3:M$51,6,FALSE),""),"FAUX")</f>
        <v>FAUX</v>
      </c>
      <c r="AM19" s="75" t="str">
        <f>IF($E19="200mH ",IF($D19="MiM ",_xlfn.IFERROR(AN19,VLOOKUP($L19,MiM_Courses!I$3:M$52,5,TRUE)-1),AN19),"FAUX")</f>
        <v>FAUX</v>
      </c>
      <c r="AN19" s="75" t="str">
        <f>IF($E19="200mH ",IF($D19="MiM ",VLOOKUP($L19,MiM_Courses!I$3:M$52,5,FALSE),""),"FAUX")</f>
        <v>FAUX</v>
      </c>
      <c r="AO19" s="75" t="str">
        <f>IF($E19="3000m Marche ",IF($D19="MiM ",_xlfn.IFERROR(AP19,VLOOKUP($M19,MiM_Courses!J$3:M$52,4,TRUE)-1),AP19),"FAUX")</f>
        <v>FAUX</v>
      </c>
      <c r="AP19" s="75" t="str">
        <f>IF($E19="3000m Marche ",IF($D19="MiM ",VLOOKUP($M19,MiM_Courses!J$3:M$52,4,FALSE),""),"FAUX")</f>
        <v>FAUX</v>
      </c>
    </row>
    <row r="20" spans="1:42" ht="15">
      <c r="A20" s="60"/>
      <c r="B20" s="46"/>
      <c r="C20" s="70"/>
      <c r="D20" s="67" t="s">
        <v>190</v>
      </c>
      <c r="E20" s="37"/>
      <c r="F20" s="171"/>
      <c r="G20" s="172"/>
      <c r="H20" s="167"/>
      <c r="I20" s="48"/>
      <c r="J20" s="48"/>
      <c r="K20" s="48"/>
      <c r="L20" s="48"/>
      <c r="M20" s="107"/>
      <c r="N20" s="61">
        <f t="shared" si="0"/>
        <v>0</v>
      </c>
      <c r="O20" s="95" t="b">
        <f>IF($D20="MiF ",IF($E20="80m ",_xlfn.IFERROR(P20,VLOOKUP(F20,MiF_Courses!$C$3:$M$52,11,TRUE)-1),P20))</f>
        <v>0</v>
      </c>
      <c r="P20" s="12" t="b">
        <f>IF($D20="MiF ",IF($E20="80m ",VLOOKUP($F20,MiF_Courses!$C$3:$M$52,11,FALSE),"faux"))</f>
        <v>0</v>
      </c>
      <c r="Q20" s="95" t="str">
        <f>IF($D20="MiF ",IF($E20="120m ",_xlfn.IFERROR(R20,VLOOKUP($G20,MiF_Courses!D$3:M$52,10,TRUE)-1),""),R20)</f>
        <v>FAUX</v>
      </c>
      <c r="R20" s="32" t="str">
        <f>IF($D20="MiF ",IF($E20="120m ",VLOOKUP($G20,MiF_Courses!$D$3:$M$52,10,FALSE),""),"FAUX")</f>
        <v>FAUX</v>
      </c>
      <c r="S20" s="4" t="b">
        <f>IF($E20="1000m ",IF($D20="MiF ",_xlfn.IFERROR(T20,VLOOKUP(ROUNDUP($H20,1),MiF_Courses!E$3:M$52,9,TRUE)-1),T20))</f>
        <v>0</v>
      </c>
      <c r="T20" s="4" t="b">
        <f>IF($E20="1000m ",IF($D20="MiF ",VLOOKUP($H20,MiF_Courses!E$3:M$52,9,FALSE),""))</f>
        <v>0</v>
      </c>
      <c r="U20" s="4" t="str">
        <f>IF($D20="MiF ",IF($E20="2000m ",_xlfn.IFERROR(V20,VLOOKUP($I20,MiF_Courses!F$3:M$52,8,TRUE)-1),""),V20)</f>
        <v>FAUX</v>
      </c>
      <c r="V20" s="4" t="str">
        <f>IF($D20="MiF ",IF($E20="2000m ",VLOOKUP($I20,MiF_Courses!F$3:M$52,8,FALSE),""),"FAUX")</f>
        <v>FAUX</v>
      </c>
      <c r="W20" s="4" t="b">
        <f>IF($E20="80mH ",IF($D20="MiF ",_xlfn.IFERROR(X20,VLOOKUP(ROUNDUP($J20,1),MiF_Courses!H$3:M$52,6,TRUE)-1),X20))</f>
        <v>0</v>
      </c>
      <c r="X20" s="4" t="b">
        <f>IF($E20="80mH ",IF($D20="MiF ",VLOOKUP($J20,MiF_Courses!H$3:M$52,6,FALSE),""))</f>
        <v>0</v>
      </c>
      <c r="Y20" s="3" t="b">
        <f>IF($E20="200mH ",IF($D20="MiF ",_xlfn.IFERROR(Z20,VLOOKUP($L20,MiF_Courses!I$3:M$52,5,TRUE)-1),Z20))</f>
        <v>0</v>
      </c>
      <c r="Z20" s="26" t="str">
        <f>IF($E20="200mH ",IF($D20="MiF ",VLOOKUP($L20,MiF_Courses!I$3:M$52,5,FALSE),""),"FAUX")</f>
        <v>FAUX</v>
      </c>
      <c r="AA20" s="4" t="b">
        <f>IF($E20="3000m Marche ",IF($D20="MiF ",_xlfn.IFERROR(AB20,VLOOKUP($M20,MiF_Courses!J$3:M$52,4,TRUE)-1),AB20))</f>
        <v>0</v>
      </c>
      <c r="AB20" s="4" t="b">
        <f>IF($E20="3000m Marche ",IF($D20="MiF ",VLOOKUP($M20,MiF_Courses!J$3:M$52,4,FALSE),""),FALSE)</f>
        <v>0</v>
      </c>
      <c r="AC20" s="4" t="b">
        <f>IF($E20="80m ",IF($D20="MiM ",_xlfn.IFERROR(AD20,VLOOKUP($F20,MiM_Courses!C$3:M$52,11,TRUE)-1),AD20))</f>
        <v>0</v>
      </c>
      <c r="AD20" s="4" t="b">
        <f>IF($E20="80m ",IF($D20="MiM ",VLOOKUP($F20,MiM_Courses!C$3:M$52,11,FALSE),""),FALSE)</f>
        <v>0</v>
      </c>
      <c r="AE20" s="4" t="b">
        <f>IF($E20="120m ",IF($D20="MiM ",_xlfn.IFERROR(AF20,VLOOKUP($G20,MiM_Courses!D$3:M$52,10,TRUE)-1),AF20))</f>
        <v>0</v>
      </c>
      <c r="AF20" s="4" t="b">
        <f>IF($E20="120m ",IF($D20="MiM ",VLOOKUP($G20,MiM_Courses!D$3:M$52,10,FALSE),""),FALSE)</f>
        <v>0</v>
      </c>
      <c r="AG20" s="4" t="b">
        <f>IF($E20="1000m ",IF($D20="MiM ",_xlfn.IFERROR(AH20,VLOOKUP($H20,MiM_Courses!E$3:M$52,9,TRUE)-1),AH20))</f>
        <v>0</v>
      </c>
      <c r="AH20" s="75" t="str">
        <f>IF($E20="1000m ",IF($D20="MiM ",VLOOKUP($H20,MiM_Courses!E$3:M$52,9,FALSE),""),"FAUX")</f>
        <v>FAUX</v>
      </c>
      <c r="AI20" s="75" t="b">
        <f>IF($E20="2000m ",IF($D20="MiM ",_xlfn.IFERROR(AJ20,VLOOKUP($I20,MiM_Courses!F$3:M$52,8,TRUE)-1),AJ20))</f>
        <v>0</v>
      </c>
      <c r="AJ20" s="75" t="str">
        <f>IF($E20="2000m ",IF($D20="MiM ",VLOOKUP($I20,MiM_Courses!F$3:M$52,8,FALSE),""),"FAUX")</f>
        <v>FAUX</v>
      </c>
      <c r="AK20" s="4" t="b">
        <f>IF($E20="100mH ",IF($D20="MiM ",_xlfn.IFERROR(AL20,VLOOKUP($K20,MiM_Courses!H$3:M$52,6,"VRAI")-1),AL20))</f>
        <v>0</v>
      </c>
      <c r="AL20" s="75" t="str">
        <f>IF($E20="100mH ",IF($D20="MiM ",VLOOKUP(K20,MiM_Courses!H$3:M$51,6,FALSE),""),"FAUX")</f>
        <v>FAUX</v>
      </c>
      <c r="AM20" s="75" t="str">
        <f>IF($E20="200mH ",IF($D20="MiM ",_xlfn.IFERROR(AN20,VLOOKUP($L20,MiM_Courses!I$3:M$52,5,TRUE)-1),AN20),"FAUX")</f>
        <v>FAUX</v>
      </c>
      <c r="AN20" s="75" t="str">
        <f>IF($E20="200mH ",IF($D20="MiM ",VLOOKUP($L20,MiM_Courses!I$3:M$52,5,FALSE),""),"FAUX")</f>
        <v>FAUX</v>
      </c>
      <c r="AO20" s="75" t="str">
        <f>IF($E20="3000m Marche ",IF($D20="MiM ",_xlfn.IFERROR(AP20,VLOOKUP($M20,MiM_Courses!J$3:M$52,4,TRUE)-1),AP20),"FAUX")</f>
        <v>FAUX</v>
      </c>
      <c r="AP20" s="75" t="str">
        <f>IF($E20="3000m Marche ",IF($D20="MiM ",VLOOKUP($M20,MiM_Courses!J$3:M$52,4,FALSE),""),"FAUX")</f>
        <v>FAUX</v>
      </c>
    </row>
    <row r="21" spans="1:42" ht="15">
      <c r="A21" s="60"/>
      <c r="B21" s="46"/>
      <c r="C21" s="70"/>
      <c r="D21" s="67" t="s">
        <v>190</v>
      </c>
      <c r="E21" s="37"/>
      <c r="F21" s="171"/>
      <c r="G21" s="172"/>
      <c r="H21" s="167"/>
      <c r="I21" s="48"/>
      <c r="J21" s="48"/>
      <c r="K21" s="48"/>
      <c r="L21" s="48"/>
      <c r="M21" s="107"/>
      <c r="N21" s="61">
        <f t="shared" si="0"/>
        <v>0</v>
      </c>
      <c r="O21" s="95" t="b">
        <f>IF($D21="MiF ",IF($E21="80m ",_xlfn.IFERROR(P21,VLOOKUP(F21,MiF_Courses!$C$3:$M$52,11,TRUE)-1),P21))</f>
        <v>0</v>
      </c>
      <c r="P21" s="12" t="b">
        <f>IF($D21="MiF ",IF($E21="80m ",VLOOKUP($F21,MiF_Courses!$C$3:$M$52,11,FALSE),"faux"))</f>
        <v>0</v>
      </c>
      <c r="Q21" s="95" t="str">
        <f>IF($D21="MiF ",IF($E21="120m ",_xlfn.IFERROR(R21,VLOOKUP($G21,MiF_Courses!D$3:M$52,10,TRUE)-1),""),R21)</f>
        <v>FAUX</v>
      </c>
      <c r="R21" s="32" t="str">
        <f>IF($D21="MiF ",IF($E21="120m ",VLOOKUP($G21,MiF_Courses!$D$3:$M$52,10,FALSE),""),"FAUX")</f>
        <v>FAUX</v>
      </c>
      <c r="S21" s="4" t="b">
        <f>IF($E21="1000m ",IF($D21="MiF ",_xlfn.IFERROR(T21,VLOOKUP(ROUNDUP($H21,1),MiF_Courses!E$3:M$52,9,TRUE)-1),T21))</f>
        <v>0</v>
      </c>
      <c r="T21" s="4" t="b">
        <f>IF($E21="1000m ",IF($D21="MiF ",VLOOKUP($H21,MiF_Courses!E$3:M$52,9,FALSE),""))</f>
        <v>0</v>
      </c>
      <c r="U21" s="4" t="str">
        <f>IF($D21="MiF ",IF($E21="2000m ",_xlfn.IFERROR(V21,VLOOKUP($I21,MiF_Courses!F$3:M$52,8,TRUE)-1),""),V21)</f>
        <v>FAUX</v>
      </c>
      <c r="V21" s="4" t="str">
        <f>IF($D21="MiF ",IF($E21="2000m ",VLOOKUP($I21,MiF_Courses!F$3:M$52,8,FALSE),""),"FAUX")</f>
        <v>FAUX</v>
      </c>
      <c r="W21" s="4" t="b">
        <f>IF($E21="80mH ",IF($D21="MiF ",_xlfn.IFERROR(X21,VLOOKUP(ROUNDUP($J21,1),MiF_Courses!H$3:M$52,6,TRUE)-1),X21))</f>
        <v>0</v>
      </c>
      <c r="X21" s="4" t="b">
        <f>IF($E21="80mH ",IF($D21="MiF ",VLOOKUP($J21,MiF_Courses!H$3:M$52,6,FALSE),""))</f>
        <v>0</v>
      </c>
      <c r="Y21" s="3" t="b">
        <f>IF($E21="200mH ",IF($D21="MiF ",_xlfn.IFERROR(Z21,VLOOKUP($L21,MiF_Courses!I$3:M$52,5,TRUE)-1),Z21))</f>
        <v>0</v>
      </c>
      <c r="Z21" s="26" t="str">
        <f>IF($E21="200mH ",IF($D21="MiF ",VLOOKUP($L21,MiF_Courses!I$3:M$52,5,FALSE),""),"FAUX")</f>
        <v>FAUX</v>
      </c>
      <c r="AA21" s="4" t="b">
        <f>IF($E21="3000m Marche ",IF($D21="MiF ",_xlfn.IFERROR(AB21,VLOOKUP($M21,MiF_Courses!J$3:M$52,4,TRUE)-1),AB21))</f>
        <v>0</v>
      </c>
      <c r="AB21" s="4" t="b">
        <f>IF($E21="3000m Marche ",IF($D21="MiF ",VLOOKUP($M21,MiF_Courses!J$3:M$52,4,FALSE),""),FALSE)</f>
        <v>0</v>
      </c>
      <c r="AC21" s="4" t="b">
        <f>IF($E21="80m ",IF($D21="MiM ",_xlfn.IFERROR(AD21,VLOOKUP($F21,MiM_Courses!C$3:M$52,11,TRUE)-1),AD21))</f>
        <v>0</v>
      </c>
      <c r="AD21" s="4" t="b">
        <f>IF($E21="80m ",IF($D21="MiM ",VLOOKUP($F21,MiM_Courses!C$3:M$52,11,FALSE),""),FALSE)</f>
        <v>0</v>
      </c>
      <c r="AE21" s="4" t="b">
        <f>IF($E21="120m ",IF($D21="MiM ",_xlfn.IFERROR(AF21,VLOOKUP($G21,MiM_Courses!D$3:M$52,10,TRUE)-1),AF21))</f>
        <v>0</v>
      </c>
      <c r="AF21" s="4" t="b">
        <f>IF($E21="120m ",IF($D21="MiM ",VLOOKUP($G21,MiM_Courses!D$3:M$52,10,FALSE),""),FALSE)</f>
        <v>0</v>
      </c>
      <c r="AG21" s="4" t="b">
        <f>IF($E21="1000m ",IF($D21="MiM ",_xlfn.IFERROR(AH21,VLOOKUP($H21,MiM_Courses!E$3:M$52,9,TRUE)-1),AH21))</f>
        <v>0</v>
      </c>
      <c r="AH21" s="75" t="str">
        <f>IF($E21="1000m ",IF($D21="MiM ",VLOOKUP($H21,MiM_Courses!E$3:M$52,9,FALSE),""),"FAUX")</f>
        <v>FAUX</v>
      </c>
      <c r="AI21" s="75" t="b">
        <f>IF($E21="2000m ",IF($D21="MiM ",_xlfn.IFERROR(AJ21,VLOOKUP($I21,MiM_Courses!F$3:M$52,8,TRUE)-1),AJ21))</f>
        <v>0</v>
      </c>
      <c r="AJ21" s="75" t="str">
        <f>IF($E21="2000m ",IF($D21="MiM ",VLOOKUP($I21,MiM_Courses!F$3:M$52,8,FALSE),""),"FAUX")</f>
        <v>FAUX</v>
      </c>
      <c r="AK21" s="4" t="b">
        <f>IF($E21="100mH ",IF($D21="MiM ",_xlfn.IFERROR(AL21,VLOOKUP($K21,MiM_Courses!H$3:M$52,6,"VRAI")-1),AL21))</f>
        <v>0</v>
      </c>
      <c r="AL21" s="75" t="str">
        <f>IF($E21="100mH ",IF($D21="MiM ",VLOOKUP(K21,MiM_Courses!H$3:M$51,6,FALSE),""),"FAUX")</f>
        <v>FAUX</v>
      </c>
      <c r="AM21" s="75" t="str">
        <f>IF($E21="200mH ",IF($D21="MiM ",_xlfn.IFERROR(AN21,VLOOKUP($L21,MiM_Courses!I$3:M$52,5,TRUE)-1),AN21),"FAUX")</f>
        <v>FAUX</v>
      </c>
      <c r="AN21" s="75" t="str">
        <f>IF($E21="200mH ",IF($D21="MiM ",VLOOKUP($L21,MiM_Courses!I$3:M$52,5,FALSE),""),"FAUX")</f>
        <v>FAUX</v>
      </c>
      <c r="AO21" s="75" t="str">
        <f>IF($E21="3000m Marche ",IF($D21="MiM ",_xlfn.IFERROR(AP21,VLOOKUP($M21,MiM_Courses!J$3:M$52,4,TRUE)-1),AP21),"FAUX")</f>
        <v>FAUX</v>
      </c>
      <c r="AP21" s="75" t="str">
        <f>IF($E21="3000m Marche ",IF($D21="MiM ",VLOOKUP($M21,MiM_Courses!J$3:M$52,4,FALSE),""),"FAUX")</f>
        <v>FAUX</v>
      </c>
    </row>
    <row r="22" spans="1:42" ht="15">
      <c r="A22" s="60"/>
      <c r="B22" s="46"/>
      <c r="C22" s="70"/>
      <c r="D22" s="67" t="s">
        <v>189</v>
      </c>
      <c r="E22" s="37"/>
      <c r="F22" s="171"/>
      <c r="G22" s="172"/>
      <c r="H22" s="167"/>
      <c r="I22" s="48"/>
      <c r="J22" s="48"/>
      <c r="K22" s="48"/>
      <c r="L22" s="48"/>
      <c r="M22" s="107"/>
      <c r="N22" s="61">
        <f t="shared" si="0"/>
        <v>0</v>
      </c>
      <c r="O22" s="95" t="str">
        <f>IF($D22="MiF ",IF($E22="80m ",_xlfn.IFERROR(P22,VLOOKUP(F22,MiF_Courses!$C$3:$M$52,11,TRUE)-1),P22))</f>
        <v>faux</v>
      </c>
      <c r="P22" s="12" t="str">
        <f>IF($D22="MiF ",IF($E22="80m ",VLOOKUP($F22,MiF_Courses!$C$3:$M$52,11,FALSE),"faux"))</f>
        <v>faux</v>
      </c>
      <c r="Q22" s="95" t="str">
        <f>IF($D22="MiF ",IF($E22="120m ",_xlfn.IFERROR(R22,VLOOKUP($G22,MiF_Courses!D$3:M$52,10,TRUE)-1),""),R22)</f>
        <v/>
      </c>
      <c r="R22" s="32" t="str">
        <f>IF($D22="MiF ",IF($E22="120m ",VLOOKUP($G22,MiF_Courses!$D$3:$M$52,10,FALSE),""),"FAUX")</f>
        <v/>
      </c>
      <c r="S22" s="4" t="b">
        <f>IF($E22="1000m ",IF($D22="MiF ",_xlfn.IFERROR(T22,VLOOKUP(ROUNDUP($H22,1),MiF_Courses!E$3:M$52,9,TRUE)-1),T22))</f>
        <v>0</v>
      </c>
      <c r="T22" s="4" t="b">
        <f>IF($E22="1000m ",IF($D22="MiF ",VLOOKUP($H22,MiF_Courses!E$3:M$52,9,FALSE),""))</f>
        <v>0</v>
      </c>
      <c r="U22" s="4" t="str">
        <f>IF($D22="MiF ",IF($E22="2000m ",_xlfn.IFERROR(V22,VLOOKUP($I22,MiF_Courses!F$3:M$52,8,TRUE)-1),""),V22)</f>
        <v/>
      </c>
      <c r="V22" s="4" t="str">
        <f>IF($D22="MiF ",IF($E22="2000m ",VLOOKUP($I22,MiF_Courses!F$3:M$52,8,FALSE),""),"FAUX")</f>
        <v/>
      </c>
      <c r="W22" s="4" t="b">
        <f>IF($E22="80mH ",IF($D22="MiF ",_xlfn.IFERROR(X22,VLOOKUP(ROUNDUP($J22,1),MiF_Courses!H$3:M$52,6,TRUE)-1),X22))</f>
        <v>0</v>
      </c>
      <c r="X22" s="4" t="b">
        <f>IF($E22="80mH ",IF($D22="MiF ",VLOOKUP($J22,MiF_Courses!H$3:M$52,6,FALSE),""))</f>
        <v>0</v>
      </c>
      <c r="Y22" s="3" t="b">
        <f>IF($E22="200mH ",IF($D22="MiF ",_xlfn.IFERROR(Z22,VLOOKUP($L22,MiF_Courses!I$3:M$52,5,TRUE)-1),Z22))</f>
        <v>0</v>
      </c>
      <c r="Z22" s="26" t="str">
        <f>IF($E22="200mH ",IF($D22="MiF ",VLOOKUP($L22,MiF_Courses!I$3:M$52,5,FALSE),""),"FAUX")</f>
        <v>FAUX</v>
      </c>
      <c r="AA22" s="4" t="b">
        <f>IF($E22="3000m Marche ",IF($D22="MiF ",_xlfn.IFERROR(AB22,VLOOKUP($M22,MiF_Courses!J$3:M$52,4,TRUE)-1),AB22))</f>
        <v>0</v>
      </c>
      <c r="AB22" s="4" t="b">
        <f>IF($E22="3000m Marche ",IF($D22="MiF ",VLOOKUP($M22,MiF_Courses!J$3:M$52,4,FALSE),""),FALSE)</f>
        <v>0</v>
      </c>
      <c r="AC22" s="4" t="b">
        <f>IF($E22="80m ",IF($D22="MiM ",_xlfn.IFERROR(AD22,VLOOKUP($F22,MiM_Courses!C$3:M$52,11,TRUE)-1),AD22))</f>
        <v>0</v>
      </c>
      <c r="AD22" s="4" t="b">
        <f>IF($E22="80m ",IF($D22="MiM ",VLOOKUP($F22,MiM_Courses!C$3:M$52,11,FALSE),""),FALSE)</f>
        <v>0</v>
      </c>
      <c r="AE22" s="4" t="b">
        <f>IF($E22="120m ",IF($D22="MiM ",_xlfn.IFERROR(AF22,VLOOKUP($G22,MiM_Courses!D$3:M$52,10,TRUE)-1),AF22))</f>
        <v>0</v>
      </c>
      <c r="AF22" s="4" t="b">
        <f>IF($E22="120m ",IF($D22="MiM ",VLOOKUP($G22,MiM_Courses!D$3:M$52,10,FALSE),""),FALSE)</f>
        <v>0</v>
      </c>
      <c r="AG22" s="4" t="b">
        <f>IF($E22="1000m ",IF($D22="MiM ",_xlfn.IFERROR(AH22,VLOOKUP($H22,MiM_Courses!E$3:M$52,9,TRUE)-1),AH22))</f>
        <v>0</v>
      </c>
      <c r="AH22" s="75" t="str">
        <f>IF($E22="1000m ",IF($D22="MiM ",VLOOKUP($H22,MiM_Courses!E$3:M$52,9,FALSE),""),"FAUX")</f>
        <v>FAUX</v>
      </c>
      <c r="AI22" s="75" t="b">
        <f>IF($E22="2000m ",IF($D22="MiM ",_xlfn.IFERROR(AJ22,VLOOKUP($I22,MiM_Courses!F$3:M$52,8,TRUE)-1),AJ22))</f>
        <v>0</v>
      </c>
      <c r="AJ22" s="75" t="str">
        <f>IF($E22="2000m ",IF($D22="MiM ",VLOOKUP($I22,MiM_Courses!F$3:M$52,8,FALSE),""),"FAUX")</f>
        <v>FAUX</v>
      </c>
      <c r="AK22" s="4" t="b">
        <f>IF($E22="100mH ",IF($D22="MiM ",_xlfn.IFERROR(AL22,VLOOKUP($K22,MiM_Courses!H$3:M$52,6,"VRAI")-1),AL22))</f>
        <v>0</v>
      </c>
      <c r="AL22" s="75" t="str">
        <f>IF($E22="100mH ",IF($D22="MiM ",VLOOKUP(K22,MiM_Courses!H$3:M$51,6,FALSE),""),"FAUX")</f>
        <v>FAUX</v>
      </c>
      <c r="AM22" s="75" t="str">
        <f>IF($E22="200mH ",IF($D22="MiM ",_xlfn.IFERROR(AN22,VLOOKUP($L22,MiM_Courses!I$3:M$52,5,TRUE)-1),AN22),"FAUX")</f>
        <v>FAUX</v>
      </c>
      <c r="AN22" s="75" t="str">
        <f>IF($E22="200mH ",IF($D22="MiM ",VLOOKUP($L22,MiM_Courses!I$3:M$52,5,FALSE),""),"FAUX")</f>
        <v>FAUX</v>
      </c>
      <c r="AO22" s="75" t="str">
        <f>IF($E22="3000m Marche ",IF($D22="MiM ",_xlfn.IFERROR(AP22,VLOOKUP($M22,MiM_Courses!J$3:M$52,4,TRUE)-1),AP22),"FAUX")</f>
        <v>FAUX</v>
      </c>
      <c r="AP22" s="75" t="str">
        <f>IF($E22="3000m Marche ",IF($D22="MiM ",VLOOKUP($M22,MiM_Courses!J$3:M$52,4,FALSE),""),"FAUX")</f>
        <v>FAUX</v>
      </c>
    </row>
    <row r="23" spans="1:42" ht="15">
      <c r="A23" s="60"/>
      <c r="B23" s="46"/>
      <c r="C23" s="70"/>
      <c r="D23" s="67" t="s">
        <v>189</v>
      </c>
      <c r="E23" s="37"/>
      <c r="F23" s="171"/>
      <c r="G23" s="172"/>
      <c r="H23" s="167"/>
      <c r="I23" s="48"/>
      <c r="J23" s="48"/>
      <c r="K23" s="48"/>
      <c r="L23" s="48"/>
      <c r="M23" s="107"/>
      <c r="N23" s="61">
        <f t="shared" si="0"/>
        <v>0</v>
      </c>
      <c r="O23" s="95" t="str">
        <f>IF($D23="MiF ",IF($E23="80m ",_xlfn.IFERROR(P23,VLOOKUP(F23,MiF_Courses!$C$3:$M$52,11,TRUE)-1),P23))</f>
        <v>faux</v>
      </c>
      <c r="P23" s="12" t="str">
        <f>IF($D23="MiF ",IF($E23="80m ",VLOOKUP($F23,MiF_Courses!$C$3:$M$52,11,FALSE),"faux"))</f>
        <v>faux</v>
      </c>
      <c r="Q23" s="95" t="str">
        <f>IF($D23="MiF ",IF($E23="120m ",_xlfn.IFERROR(R23,VLOOKUP($G23,MiF_Courses!D$3:M$52,10,TRUE)-1),""),R23)</f>
        <v/>
      </c>
      <c r="R23" s="32" t="str">
        <f>IF($D23="MiF ",IF($E23="120m ",VLOOKUP($G23,MiF_Courses!$D$3:$M$52,10,FALSE),""),"FAUX")</f>
        <v/>
      </c>
      <c r="S23" s="4" t="b">
        <f>IF($E23="1000m ",IF($D23="MiF ",_xlfn.IFERROR(T23,VLOOKUP(ROUNDUP($H23,1),MiF_Courses!E$3:M$52,9,TRUE)-1),T23))</f>
        <v>0</v>
      </c>
      <c r="T23" s="4" t="b">
        <f>IF($E23="1000m ",IF($D23="MiF ",VLOOKUP($H23,MiF_Courses!E$3:M$52,9,FALSE),""))</f>
        <v>0</v>
      </c>
      <c r="U23" s="4" t="str">
        <f>IF($D23="MiF ",IF($E23="2000m ",_xlfn.IFERROR(V23,VLOOKUP($I23,MiF_Courses!F$3:M$52,8,TRUE)-1),""),V23)</f>
        <v/>
      </c>
      <c r="V23" s="4" t="str">
        <f>IF($D23="MiF ",IF($E23="2000m ",VLOOKUP($I23,MiF_Courses!F$3:M$52,8,FALSE),""),"FAUX")</f>
        <v/>
      </c>
      <c r="W23" s="4" t="b">
        <f>IF($E23="80mH ",IF($D23="MiF ",_xlfn.IFERROR(X23,VLOOKUP(ROUNDUP($J23,1),MiF_Courses!H$3:M$52,6,TRUE)-1),X23))</f>
        <v>0</v>
      </c>
      <c r="X23" s="4" t="b">
        <f>IF($E23="80mH ",IF($D23="MiF ",VLOOKUP($J23,MiF_Courses!H$3:M$52,6,FALSE),""))</f>
        <v>0</v>
      </c>
      <c r="Y23" s="3" t="b">
        <f>IF($E23="200mH ",IF($D23="MiF ",_xlfn.IFERROR(Z23,VLOOKUP($L23,MiF_Courses!I$3:M$52,5,TRUE)-1),Z23))</f>
        <v>0</v>
      </c>
      <c r="Z23" s="26" t="str">
        <f>IF($E23="200mH ",IF($D23="MiF ",VLOOKUP($L23,MiF_Courses!I$3:M$52,5,FALSE),""),"FAUX")</f>
        <v>FAUX</v>
      </c>
      <c r="AA23" s="4" t="b">
        <f>IF($E23="3000m Marche ",IF($D23="MiF ",_xlfn.IFERROR(AB23,VLOOKUP($M23,MiF_Courses!J$3:M$52,4,TRUE)-1),AB23))</f>
        <v>0</v>
      </c>
      <c r="AB23" s="4" t="b">
        <f>IF($E23="3000m Marche ",IF($D23="MiF ",VLOOKUP($M23,MiF_Courses!J$3:M$52,4,FALSE),""),FALSE)</f>
        <v>0</v>
      </c>
      <c r="AC23" s="4" t="b">
        <f>IF($E23="80m ",IF($D23="MiM ",_xlfn.IFERROR(AD23,VLOOKUP($F23,MiM_Courses!C$3:M$52,11,TRUE)-1),AD23))</f>
        <v>0</v>
      </c>
      <c r="AD23" s="4" t="b">
        <f>IF($E23="80m ",IF($D23="MiM ",VLOOKUP($F23,MiM_Courses!C$3:M$52,11,FALSE),""),FALSE)</f>
        <v>0</v>
      </c>
      <c r="AE23" s="4" t="b">
        <f>IF($E23="120m ",IF($D23="MiM ",_xlfn.IFERROR(AF23,VLOOKUP($G23,MiM_Courses!D$3:M$52,10,TRUE)-1),AF23))</f>
        <v>0</v>
      </c>
      <c r="AF23" s="4" t="b">
        <f>IF($E23="120m ",IF($D23="MiM ",VLOOKUP($G23,MiM_Courses!D$3:M$52,10,FALSE),""),FALSE)</f>
        <v>0</v>
      </c>
      <c r="AG23" s="4" t="b">
        <f>IF($E23="1000m ",IF($D23="MiM ",_xlfn.IFERROR(AH23,VLOOKUP($H23,MiM_Courses!E$3:M$52,9,TRUE)-1),AH23))</f>
        <v>0</v>
      </c>
      <c r="AH23" s="75" t="str">
        <f>IF($E23="1000m ",IF($D23="MiM ",VLOOKUP($H23,MiM_Courses!E$3:M$52,9,FALSE),""),"FAUX")</f>
        <v>FAUX</v>
      </c>
      <c r="AI23" s="75" t="b">
        <f>IF($E23="2000m ",IF($D23="MiM ",_xlfn.IFERROR(AJ23,VLOOKUP($I23,MiM_Courses!F$3:M$52,8,TRUE)-1),AJ23))</f>
        <v>0</v>
      </c>
      <c r="AJ23" s="75" t="str">
        <f>IF($E23="2000m ",IF($D23="MiM ",VLOOKUP($I23,MiM_Courses!F$3:M$52,8,FALSE),""),"FAUX")</f>
        <v>FAUX</v>
      </c>
      <c r="AK23" s="4" t="b">
        <f>IF($E23="100mH ",IF($D23="MiM ",_xlfn.IFERROR(AL23,VLOOKUP($K23,MiM_Courses!H$3:M$52,6,"VRAI")-1),AL23))</f>
        <v>0</v>
      </c>
      <c r="AL23" s="75" t="str">
        <f>IF($E23="100mH ",IF($D23="MiM ",VLOOKUP(K23,MiM_Courses!H$3:M$51,6,FALSE),""),"FAUX")</f>
        <v>FAUX</v>
      </c>
      <c r="AM23" s="75" t="str">
        <f>IF($E23="200mH ",IF($D23="MiM ",_xlfn.IFERROR(AN23,VLOOKUP($L23,MiM_Courses!I$3:M$52,5,TRUE)-1),AN23),"FAUX")</f>
        <v>FAUX</v>
      </c>
      <c r="AN23" s="75" t="str">
        <f>IF($E23="200mH ",IF($D23="MiM ",VLOOKUP($L23,MiM_Courses!I$3:M$52,5,FALSE),""),"FAUX")</f>
        <v>FAUX</v>
      </c>
      <c r="AO23" s="75" t="str">
        <f>IF($E23="3000m Marche ",IF($D23="MiM ",_xlfn.IFERROR(AP23,VLOOKUP($M23,MiM_Courses!J$3:M$52,4,TRUE)-1),AP23),"FAUX")</f>
        <v>FAUX</v>
      </c>
      <c r="AP23" s="75" t="str">
        <f>IF($E23="3000m Marche ",IF($D23="MiM ",VLOOKUP($M23,MiM_Courses!J$3:M$52,4,FALSE),""),"FAUX")</f>
        <v>FAUX</v>
      </c>
    </row>
    <row r="24" spans="1:42" ht="15">
      <c r="A24" s="60"/>
      <c r="B24" s="46"/>
      <c r="C24" s="70"/>
      <c r="D24" s="67" t="s">
        <v>189</v>
      </c>
      <c r="E24" s="37"/>
      <c r="F24" s="171"/>
      <c r="G24" s="172"/>
      <c r="H24" s="167"/>
      <c r="I24" s="48"/>
      <c r="J24" s="48"/>
      <c r="K24" s="48"/>
      <c r="L24" s="48"/>
      <c r="M24" s="107"/>
      <c r="N24" s="61">
        <f t="shared" si="0"/>
        <v>0</v>
      </c>
      <c r="O24" s="95" t="str">
        <f>IF($D24="MiF ",IF($E24="80m ",_xlfn.IFERROR(P24,VLOOKUP(F24,MiF_Courses!$C$3:$M$52,11,TRUE)-1),P24))</f>
        <v>faux</v>
      </c>
      <c r="P24" s="12" t="str">
        <f>IF($D24="MiF ",IF($E24="80m ",VLOOKUP($F24,MiF_Courses!$C$3:$M$52,11,FALSE),"faux"))</f>
        <v>faux</v>
      </c>
      <c r="Q24" s="95" t="str">
        <f>IF($D24="MiF ",IF($E24="120m ",_xlfn.IFERROR(R24,VLOOKUP($G24,MiF_Courses!D$3:M$52,10,TRUE)-1),""),R24)</f>
        <v/>
      </c>
      <c r="R24" s="32" t="str">
        <f>IF($D24="MiF ",IF($E24="120m ",VLOOKUP($G24,MiF_Courses!$D$3:$M$52,10,FALSE),""),"FAUX")</f>
        <v/>
      </c>
      <c r="S24" s="4" t="b">
        <f>IF($E24="1000m ",IF($D24="MiF ",_xlfn.IFERROR(T24,VLOOKUP(ROUNDUP($H24,1),MiF_Courses!E$3:M$52,9,TRUE)-1),T24))</f>
        <v>0</v>
      </c>
      <c r="T24" s="4" t="b">
        <f>IF($E24="1000m ",IF($D24="MiF ",VLOOKUP($H24,MiF_Courses!E$3:M$52,9,FALSE),""))</f>
        <v>0</v>
      </c>
      <c r="U24" s="4" t="str">
        <f>IF($D24="MiF ",IF($E24="2000m ",_xlfn.IFERROR(V24,VLOOKUP($I24,MiF_Courses!F$3:M$52,8,TRUE)-1),""),V24)</f>
        <v/>
      </c>
      <c r="V24" s="4" t="str">
        <f>IF($D24="MiF ",IF($E24="2000m ",VLOOKUP($I24,MiF_Courses!F$3:M$52,8,FALSE),""),"FAUX")</f>
        <v/>
      </c>
      <c r="W24" s="4" t="b">
        <f>IF($E24="80mH ",IF($D24="MiF ",_xlfn.IFERROR(X24,VLOOKUP(ROUNDUP($J24,1),MiF_Courses!H$3:M$52,6,TRUE)-1),X24))</f>
        <v>0</v>
      </c>
      <c r="X24" s="4" t="b">
        <f>IF($E24="80mH ",IF($D24="MiF ",VLOOKUP($J24,MiF_Courses!H$3:M$52,6,FALSE),""))</f>
        <v>0</v>
      </c>
      <c r="Y24" s="3" t="b">
        <f>IF($E24="200mH ",IF($D24="MiF ",_xlfn.IFERROR(Z24,VLOOKUP($L24,MiF_Courses!I$3:M$52,5,TRUE)-1),Z24))</f>
        <v>0</v>
      </c>
      <c r="Z24" s="26" t="str">
        <f>IF($E24="200mH ",IF($D24="MiF ",VLOOKUP($L24,MiF_Courses!I$3:M$52,5,FALSE),""),"FAUX")</f>
        <v>FAUX</v>
      </c>
      <c r="AA24" s="4" t="b">
        <f>IF($E24="3000m Marche ",IF($D24="MiF ",_xlfn.IFERROR(AB24,VLOOKUP($M24,MiF_Courses!J$3:M$52,4,TRUE)-1),AB24))</f>
        <v>0</v>
      </c>
      <c r="AB24" s="4" t="b">
        <f>IF($E24="3000m Marche ",IF($D24="MiF ",VLOOKUP($M24,MiF_Courses!J$3:M$52,4,FALSE),""),FALSE)</f>
        <v>0</v>
      </c>
      <c r="AC24" s="4" t="b">
        <f>IF($E24="80m ",IF($D24="MiM ",_xlfn.IFERROR(AD24,VLOOKUP($F24,MiM_Courses!C$3:M$52,11,TRUE)-1),AD24))</f>
        <v>0</v>
      </c>
      <c r="AD24" s="4" t="b">
        <f>IF($E24="80m ",IF($D24="MiM ",VLOOKUP($F24,MiM_Courses!C$3:M$52,11,FALSE),""),FALSE)</f>
        <v>0</v>
      </c>
      <c r="AE24" s="4" t="b">
        <f>IF($E24="120m ",IF($D24="MiM ",_xlfn.IFERROR(AF24,VLOOKUP($G24,MiM_Courses!D$3:M$52,10,TRUE)-1),AF24))</f>
        <v>0</v>
      </c>
      <c r="AF24" s="4" t="b">
        <f>IF($E24="120m ",IF($D24="MiM ",VLOOKUP($G24,MiM_Courses!D$3:M$52,10,FALSE),""),FALSE)</f>
        <v>0</v>
      </c>
      <c r="AG24" s="4" t="b">
        <f>IF($E24="1000m ",IF($D24="MiM ",_xlfn.IFERROR(AH24,VLOOKUP($H24,MiM_Courses!E$3:M$52,9,TRUE)-1),AH24))</f>
        <v>0</v>
      </c>
      <c r="AH24" s="75" t="str">
        <f>IF($E24="1000m ",IF($D24="MiM ",VLOOKUP($H24,MiM_Courses!E$3:M$52,9,FALSE),""),"FAUX")</f>
        <v>FAUX</v>
      </c>
      <c r="AI24" s="75" t="b">
        <f>IF($E24="2000m ",IF($D24="MiM ",_xlfn.IFERROR(AJ24,VLOOKUP($I24,MiM_Courses!F$3:M$52,8,TRUE)-1),AJ24))</f>
        <v>0</v>
      </c>
      <c r="AJ24" s="75" t="str">
        <f>IF($E24="2000m ",IF($D24="MiM ",VLOOKUP($I24,MiM_Courses!F$3:M$52,8,FALSE),""),"FAUX")</f>
        <v>FAUX</v>
      </c>
      <c r="AK24" s="4" t="b">
        <f>IF($E24="100mH ",IF($D24="MiM ",_xlfn.IFERROR(AL24,VLOOKUP($K24,MiM_Courses!H$3:M$52,6,"VRAI")-1),AL24))</f>
        <v>0</v>
      </c>
      <c r="AL24" s="75" t="str">
        <f>IF($E24="100mH ",IF($D24="MiM ",VLOOKUP(K24,MiM_Courses!H$3:M$51,6,FALSE),""),"FAUX")</f>
        <v>FAUX</v>
      </c>
      <c r="AM24" s="75" t="str">
        <f>IF($E24="200mH ",IF($D24="MiM ",_xlfn.IFERROR(AN24,VLOOKUP($L24,MiM_Courses!I$3:M$52,5,TRUE)-1),AN24),"FAUX")</f>
        <v>FAUX</v>
      </c>
      <c r="AN24" s="75" t="str">
        <f>IF($E24="200mH ",IF($D24="MiM ",VLOOKUP($L24,MiM_Courses!I$3:M$52,5,FALSE),""),"FAUX")</f>
        <v>FAUX</v>
      </c>
      <c r="AO24" s="75" t="str">
        <f>IF($E24="3000m Marche ",IF($D24="MiM ",_xlfn.IFERROR(AP24,VLOOKUP($M24,MiM_Courses!J$3:M$52,4,TRUE)-1),AP24),"FAUX")</f>
        <v>FAUX</v>
      </c>
      <c r="AP24" s="75" t="str">
        <f>IF($E24="3000m Marche ",IF($D24="MiM ",VLOOKUP($M24,MiM_Courses!J$3:M$52,4,FALSE),""),"FAUX")</f>
        <v>FAUX</v>
      </c>
    </row>
    <row r="25" spans="1:42" ht="15">
      <c r="A25" s="60"/>
      <c r="B25" s="46"/>
      <c r="C25" s="70"/>
      <c r="D25" s="67" t="s">
        <v>189</v>
      </c>
      <c r="E25" s="37"/>
      <c r="F25" s="171"/>
      <c r="G25" s="172"/>
      <c r="H25" s="167"/>
      <c r="I25" s="48"/>
      <c r="J25" s="48"/>
      <c r="K25" s="48"/>
      <c r="L25" s="48"/>
      <c r="M25" s="107"/>
      <c r="N25" s="61">
        <f t="shared" si="0"/>
        <v>0</v>
      </c>
      <c r="O25" s="95" t="str">
        <f>IF($D25="MiF ",IF($E25="80m ",_xlfn.IFERROR(P25,VLOOKUP(F25,MiF_Courses!$C$3:$M$52,11,TRUE)-1),P25))</f>
        <v>faux</v>
      </c>
      <c r="P25" s="12" t="str">
        <f>IF($D25="MiF ",IF($E25="80m ",VLOOKUP($F25,MiF_Courses!$C$3:$M$52,11,FALSE),"faux"))</f>
        <v>faux</v>
      </c>
      <c r="Q25" s="95" t="str">
        <f>IF($D25="MiF ",IF($E25="120m ",_xlfn.IFERROR(R25,VLOOKUP($G25,MiF_Courses!D$3:M$52,10,TRUE)-1),""),R25)</f>
        <v/>
      </c>
      <c r="R25" s="32" t="str">
        <f>IF($D25="MiF ",IF($E25="120m ",VLOOKUP($G25,MiF_Courses!$D$3:$M$52,10,FALSE),""),"FAUX")</f>
        <v/>
      </c>
      <c r="S25" s="4" t="b">
        <f>IF($E25="1000m ",IF($D25="MiF ",_xlfn.IFERROR(T25,VLOOKUP(ROUNDUP($H25,1),MiF_Courses!E$3:M$52,9,TRUE)-1),T25))</f>
        <v>0</v>
      </c>
      <c r="T25" s="4" t="b">
        <f>IF($E25="1000m ",IF($D25="MiF ",VLOOKUP($H25,MiF_Courses!E$3:M$52,9,FALSE),""))</f>
        <v>0</v>
      </c>
      <c r="U25" s="4" t="str">
        <f>IF($D25="MiF ",IF($E25="2000m ",_xlfn.IFERROR(V25,VLOOKUP($I25,MiF_Courses!F$3:M$52,8,TRUE)-1),""),V25)</f>
        <v/>
      </c>
      <c r="V25" s="4" t="str">
        <f>IF($D25="MiF ",IF($E25="2000m ",VLOOKUP($I25,MiF_Courses!F$3:M$52,8,FALSE),""),"FAUX")</f>
        <v/>
      </c>
      <c r="W25" s="4" t="b">
        <f>IF($E25="80mH ",IF($D25="MiF ",_xlfn.IFERROR(X25,VLOOKUP(ROUNDUP($J25,1),MiF_Courses!H$3:M$52,6,TRUE)-1),X25))</f>
        <v>0</v>
      </c>
      <c r="X25" s="4" t="b">
        <f>IF($E25="80mH ",IF($D25="MiF ",VLOOKUP($J25,MiF_Courses!H$3:M$52,6,FALSE),""))</f>
        <v>0</v>
      </c>
      <c r="Y25" s="3" t="b">
        <f>IF($E25="200mH ",IF($D25="MiF ",_xlfn.IFERROR(Z25,VLOOKUP($L25,MiF_Courses!I$3:M$52,5,TRUE)-1),Z25))</f>
        <v>0</v>
      </c>
      <c r="Z25" s="26" t="str">
        <f>IF($E25="200mH ",IF($D25="MiF ",VLOOKUP($L25,MiF_Courses!I$3:M$52,5,FALSE),""),"FAUX")</f>
        <v>FAUX</v>
      </c>
      <c r="AA25" s="4" t="b">
        <f>IF($E25="3000m Marche ",IF($D25="MiF ",_xlfn.IFERROR(AB25,VLOOKUP($M25,MiF_Courses!J$3:M$52,4,TRUE)-1),AB25))</f>
        <v>0</v>
      </c>
      <c r="AB25" s="4" t="b">
        <f>IF($E25="3000m Marche ",IF($D25="MiF ",VLOOKUP($M25,MiF_Courses!J$3:M$52,4,FALSE),""),FALSE)</f>
        <v>0</v>
      </c>
      <c r="AC25" s="4" t="b">
        <f>IF($E25="80m ",IF($D25="MiM ",_xlfn.IFERROR(AD25,VLOOKUP($F25,MiM_Courses!C$3:M$52,11,TRUE)-1),AD25))</f>
        <v>0</v>
      </c>
      <c r="AD25" s="4" t="b">
        <f>IF($E25="80m ",IF($D25="MiM ",VLOOKUP($F25,MiM_Courses!C$3:M$52,11,FALSE),""),FALSE)</f>
        <v>0</v>
      </c>
      <c r="AE25" s="4" t="b">
        <f>IF($E25="120m ",IF($D25="MiM ",_xlfn.IFERROR(AF25,VLOOKUP($G25,MiM_Courses!D$3:M$52,10,TRUE)-1),AF25))</f>
        <v>0</v>
      </c>
      <c r="AF25" s="4" t="b">
        <f>IF($E25="120m ",IF($D25="MiM ",VLOOKUP($G25,MiM_Courses!D$3:M$52,10,FALSE),""),FALSE)</f>
        <v>0</v>
      </c>
      <c r="AG25" s="4" t="b">
        <f>IF($E25="1000m ",IF($D25="MiM ",_xlfn.IFERROR(AH25,VLOOKUP($H25,MiM_Courses!E$3:M$52,9,TRUE)-1),AH25))</f>
        <v>0</v>
      </c>
      <c r="AH25" s="75" t="str">
        <f>IF($E25="1000m ",IF($D25="MiM ",VLOOKUP($H25,MiM_Courses!E$3:M$52,9,FALSE),""),"FAUX")</f>
        <v>FAUX</v>
      </c>
      <c r="AI25" s="75" t="b">
        <f>IF($E25="2000m ",IF($D25="MiM ",_xlfn.IFERROR(AJ25,VLOOKUP($I25,MiM_Courses!F$3:M$52,8,TRUE)-1),AJ25))</f>
        <v>0</v>
      </c>
      <c r="AJ25" s="75" t="str">
        <f>IF($E25="2000m ",IF($D25="MiM ",VLOOKUP($I25,MiM_Courses!F$3:M$52,8,FALSE),""),"FAUX")</f>
        <v>FAUX</v>
      </c>
      <c r="AK25" s="4" t="b">
        <f>IF($E25="100mH ",IF($D25="MiM ",_xlfn.IFERROR(AL25,VLOOKUP($K25,MiM_Courses!H$3:M$52,6,"VRAI")-1),AL25))</f>
        <v>0</v>
      </c>
      <c r="AL25" s="75" t="str">
        <f>IF($E25="100mH ",IF($D25="MiM ",VLOOKUP(K25,MiM_Courses!H$3:M$51,6,FALSE),""),"FAUX")</f>
        <v>FAUX</v>
      </c>
      <c r="AM25" s="75" t="str">
        <f>IF($E25="200mH ",IF($D25="MiM ",_xlfn.IFERROR(AN25,VLOOKUP($L25,MiM_Courses!I$3:M$52,5,TRUE)-1),AN25),"FAUX")</f>
        <v>FAUX</v>
      </c>
      <c r="AN25" s="75" t="str">
        <f>IF($E25="200mH ",IF($D25="MiM ",VLOOKUP($L25,MiM_Courses!I$3:M$52,5,FALSE),""),"FAUX")</f>
        <v>FAUX</v>
      </c>
      <c r="AO25" s="75" t="str">
        <f>IF($E25="3000m Marche ",IF($D25="MiM ",_xlfn.IFERROR(AP25,VLOOKUP($M25,MiM_Courses!J$3:M$52,4,TRUE)-1),AP25),"FAUX")</f>
        <v>FAUX</v>
      </c>
      <c r="AP25" s="75" t="str">
        <f>IF($E25="3000m Marche ",IF($D25="MiM ",VLOOKUP($M25,MiM_Courses!J$3:M$52,4,FALSE),""),"FAUX")</f>
        <v>FAUX</v>
      </c>
    </row>
    <row r="26" spans="1:42" ht="15">
      <c r="A26" s="60"/>
      <c r="B26" s="46"/>
      <c r="C26" s="70"/>
      <c r="D26" s="67" t="s">
        <v>189</v>
      </c>
      <c r="E26" s="37"/>
      <c r="F26" s="171"/>
      <c r="G26" s="172"/>
      <c r="H26" s="167"/>
      <c r="I26" s="48"/>
      <c r="J26" s="48"/>
      <c r="K26" s="48"/>
      <c r="L26" s="48"/>
      <c r="M26" s="107"/>
      <c r="N26" s="61">
        <f t="shared" si="0"/>
        <v>0</v>
      </c>
      <c r="O26" s="95" t="str">
        <f>IF($D26="MiF ",IF($E26="80m ",_xlfn.IFERROR(P26,VLOOKUP(F26,MiF_Courses!$C$3:$M$52,11,TRUE)-1),P26))</f>
        <v>faux</v>
      </c>
      <c r="P26" s="12" t="str">
        <f>IF($D26="MiF ",IF($E26="80m ",VLOOKUP($F26,MiF_Courses!$C$3:$M$52,11,FALSE),"faux"))</f>
        <v>faux</v>
      </c>
      <c r="Q26" s="95" t="str">
        <f>IF($D26="MiF ",IF($E26="120m ",_xlfn.IFERROR(R26,VLOOKUP($G26,MiF_Courses!D$3:M$52,10,TRUE)-1),""),R26)</f>
        <v/>
      </c>
      <c r="R26" s="32" t="str">
        <f>IF($D26="MiF ",IF($E26="120m ",VLOOKUP($G26,MiF_Courses!$D$3:$M$52,10,FALSE),""),"FAUX")</f>
        <v/>
      </c>
      <c r="S26" s="4" t="b">
        <f>IF($E26="1000m ",IF($D26="MiF ",_xlfn.IFERROR(T26,VLOOKUP(ROUNDUP($H26,1),MiF_Courses!E$3:M$52,9,TRUE)-1),T26))</f>
        <v>0</v>
      </c>
      <c r="T26" s="4" t="b">
        <f>IF($E26="1000m ",IF($D26="MiF ",VLOOKUP($H26,MiF_Courses!E$3:M$52,9,FALSE),""))</f>
        <v>0</v>
      </c>
      <c r="U26" s="4" t="str">
        <f>IF($D26="MiF ",IF($E26="2000m ",_xlfn.IFERROR(V26,VLOOKUP($I26,MiF_Courses!F$3:M$52,8,TRUE)-1),""),V26)</f>
        <v/>
      </c>
      <c r="V26" s="4" t="str">
        <f>IF($D26="MiF ",IF($E26="2000m ",VLOOKUP($I26,MiF_Courses!F$3:M$52,8,FALSE),""),"FAUX")</f>
        <v/>
      </c>
      <c r="W26" s="4" t="b">
        <f>IF($E26="80mH ",IF($D26="MiF ",_xlfn.IFERROR(X26,VLOOKUP(ROUNDUP($J26,1),MiF_Courses!H$3:M$52,6,TRUE)-1),X26))</f>
        <v>0</v>
      </c>
      <c r="X26" s="4" t="b">
        <f>IF($E26="80mH ",IF($D26="MiF ",VLOOKUP($J26,MiF_Courses!H$3:M$52,6,FALSE),""))</f>
        <v>0</v>
      </c>
      <c r="Y26" s="3" t="b">
        <f>IF($E26="200mH ",IF($D26="MiF ",_xlfn.IFERROR(Z26,VLOOKUP($L26,MiF_Courses!I$3:M$52,5,TRUE)-1),Z26))</f>
        <v>0</v>
      </c>
      <c r="Z26" s="26" t="str">
        <f>IF($E26="200mH ",IF($D26="MiF ",VLOOKUP($L26,MiF_Courses!I$3:M$52,5,FALSE),""),"FAUX")</f>
        <v>FAUX</v>
      </c>
      <c r="AA26" s="4" t="b">
        <f>IF($E26="3000m Marche ",IF($D26="MiF ",_xlfn.IFERROR(AB26,VLOOKUP($M26,MiF_Courses!J$3:M$52,4,TRUE)-1),AB26))</f>
        <v>0</v>
      </c>
      <c r="AB26" s="4" t="b">
        <f>IF($E26="3000m Marche ",IF($D26="MiF ",VLOOKUP($M26,MiF_Courses!J$3:M$52,4,FALSE),""),FALSE)</f>
        <v>0</v>
      </c>
      <c r="AC26" s="4" t="b">
        <f>IF($E26="80m ",IF($D26="MiM ",_xlfn.IFERROR(AD26,VLOOKUP($F26,MiM_Courses!C$3:M$52,11,TRUE)-1),AD26))</f>
        <v>0</v>
      </c>
      <c r="AD26" s="4" t="b">
        <f>IF($E26="80m ",IF($D26="MiM ",VLOOKUP($F26,MiM_Courses!C$3:M$52,11,FALSE),""),FALSE)</f>
        <v>0</v>
      </c>
      <c r="AE26" s="4" t="b">
        <f>IF($E26="120m ",IF($D26="MiM ",_xlfn.IFERROR(AF26,VLOOKUP($G26,MiM_Courses!D$3:M$52,10,TRUE)-1),AF26))</f>
        <v>0</v>
      </c>
      <c r="AF26" s="4" t="b">
        <f>IF($E26="120m ",IF($D26="MiM ",VLOOKUP($G26,MiM_Courses!D$3:M$52,10,FALSE),""),FALSE)</f>
        <v>0</v>
      </c>
      <c r="AG26" s="4" t="b">
        <f>IF($E26="1000m ",IF($D26="MiM ",_xlfn.IFERROR(AH26,VLOOKUP($H26,MiM_Courses!E$3:M$52,9,TRUE)-1),AH26))</f>
        <v>0</v>
      </c>
      <c r="AH26" s="75" t="str">
        <f>IF($E26="1000m ",IF($D26="MiM ",VLOOKUP($H26,MiM_Courses!E$3:M$52,9,FALSE),""),"FAUX")</f>
        <v>FAUX</v>
      </c>
      <c r="AI26" s="75" t="b">
        <f>IF($E26="2000m ",IF($D26="MiM ",_xlfn.IFERROR(AJ26,VLOOKUP($I26,MiM_Courses!F$3:M$52,8,TRUE)-1),AJ26))</f>
        <v>0</v>
      </c>
      <c r="AJ26" s="75" t="str">
        <f>IF($E26="2000m ",IF($D26="MiM ",VLOOKUP($I26,MiM_Courses!F$3:M$52,8,FALSE),""),"FAUX")</f>
        <v>FAUX</v>
      </c>
      <c r="AK26" s="4" t="b">
        <f>IF($E26="100mH ",IF($D26="MiM ",_xlfn.IFERROR(AL26,VLOOKUP($K26,MiM_Courses!H$3:M$52,6,"VRAI")-1),AL26))</f>
        <v>0</v>
      </c>
      <c r="AL26" s="75" t="str">
        <f>IF($E26="100mH ",IF($D26="MiM ",VLOOKUP(K26,MiM_Courses!H$3:M$51,6,FALSE),""),"FAUX")</f>
        <v>FAUX</v>
      </c>
      <c r="AM26" s="75" t="str">
        <f>IF($E26="200mH ",IF($D26="MiM ",_xlfn.IFERROR(AN26,VLOOKUP($L26,MiM_Courses!I$3:M$52,5,TRUE)-1),AN26),"FAUX")</f>
        <v>FAUX</v>
      </c>
      <c r="AN26" s="75" t="str">
        <f>IF($E26="200mH ",IF($D26="MiM ",VLOOKUP($L26,MiM_Courses!I$3:M$52,5,FALSE),""),"FAUX")</f>
        <v>FAUX</v>
      </c>
      <c r="AO26" s="75" t="str">
        <f>IF($E26="3000m Marche ",IF($D26="MiM ",_xlfn.IFERROR(AP26,VLOOKUP($M26,MiM_Courses!J$3:M$52,4,TRUE)-1),AP26),"FAUX")</f>
        <v>FAUX</v>
      </c>
      <c r="AP26" s="75" t="str">
        <f>IF($E26="3000m Marche ",IF($D26="MiM ",VLOOKUP($M26,MiM_Courses!J$3:M$52,4,FALSE),""),"FAUX")</f>
        <v>FAUX</v>
      </c>
    </row>
    <row r="27" spans="1:42" ht="15">
      <c r="A27" s="60"/>
      <c r="B27" s="46"/>
      <c r="C27" s="70"/>
      <c r="D27" s="67" t="s">
        <v>189</v>
      </c>
      <c r="E27" s="37"/>
      <c r="F27" s="171"/>
      <c r="G27" s="172"/>
      <c r="H27" s="167"/>
      <c r="I27" s="48"/>
      <c r="J27" s="48"/>
      <c r="K27" s="48"/>
      <c r="L27" s="48"/>
      <c r="M27" s="107"/>
      <c r="N27" s="61">
        <f t="shared" si="0"/>
        <v>0</v>
      </c>
      <c r="O27" s="95" t="str">
        <f>IF($D27="MiF ",IF($E27="80m ",_xlfn.IFERROR(P27,VLOOKUP(F27,MiF_Courses!$C$3:$M$52,11,TRUE)-1),P27))</f>
        <v>faux</v>
      </c>
      <c r="P27" s="12" t="str">
        <f>IF($D27="MiF ",IF($E27="80m ",VLOOKUP($F27,MiF_Courses!$C$3:$M$52,11,FALSE),"faux"))</f>
        <v>faux</v>
      </c>
      <c r="Q27" s="95" t="str">
        <f>IF($D27="MiF ",IF($E27="120m ",_xlfn.IFERROR(R27,VLOOKUP($G27,MiF_Courses!D$3:M$52,10,TRUE)-1),""),R27)</f>
        <v/>
      </c>
      <c r="R27" s="32" t="str">
        <f>IF($D27="MiF ",IF($E27="120m ",VLOOKUP($G27,MiF_Courses!$D$3:$M$52,10,FALSE),""),"FAUX")</f>
        <v/>
      </c>
      <c r="S27" s="4" t="b">
        <f>IF($E27="1000m ",IF($D27="MiF ",_xlfn.IFERROR(T27,VLOOKUP(ROUNDUP($H27,1),MiF_Courses!E$3:M$52,9,TRUE)-1),T27))</f>
        <v>0</v>
      </c>
      <c r="T27" s="4" t="b">
        <f>IF($E27="1000m ",IF($D27="MiF ",VLOOKUP($H27,MiF_Courses!E$3:M$52,9,FALSE),""))</f>
        <v>0</v>
      </c>
      <c r="U27" s="4" t="str">
        <f>IF($D27="MiF ",IF($E27="2000m ",_xlfn.IFERROR(V27,VLOOKUP($I27,MiF_Courses!F$3:M$52,8,TRUE)-1),""),V27)</f>
        <v/>
      </c>
      <c r="V27" s="4" t="str">
        <f>IF($D27="MiF ",IF($E27="2000m ",VLOOKUP($I27,MiF_Courses!F$3:M$52,8,FALSE),""),"FAUX")</f>
        <v/>
      </c>
      <c r="W27" s="4" t="b">
        <f>IF($E27="80mH ",IF($D27="MiF ",_xlfn.IFERROR(X27,VLOOKUP(ROUNDUP($J27,1),MiF_Courses!H$3:M$52,6,TRUE)-1),X27))</f>
        <v>0</v>
      </c>
      <c r="X27" s="4" t="b">
        <f>IF($E27="80mH ",IF($D27="MiF ",VLOOKUP($J27,MiF_Courses!H$3:M$52,6,FALSE),""))</f>
        <v>0</v>
      </c>
      <c r="Y27" s="3" t="b">
        <f>IF($E27="200mH ",IF($D27="MiF ",_xlfn.IFERROR(Z27,VLOOKUP($L27,MiF_Courses!I$3:M$52,5,TRUE)-1),Z27))</f>
        <v>0</v>
      </c>
      <c r="Z27" s="26" t="str">
        <f>IF($E27="200mH ",IF($D27="MiF ",VLOOKUP($L27,MiF_Courses!I$3:M$52,5,FALSE),""),"FAUX")</f>
        <v>FAUX</v>
      </c>
      <c r="AA27" s="4" t="b">
        <f>IF($E27="3000m Marche ",IF($D27="MiF ",_xlfn.IFERROR(AB27,VLOOKUP($M27,MiF_Courses!J$3:M$52,4,TRUE)-1),AB27))</f>
        <v>0</v>
      </c>
      <c r="AB27" s="4" t="b">
        <f>IF($E27="3000m Marche ",IF($D27="MiF ",VLOOKUP($M27,MiF_Courses!J$3:M$52,4,FALSE),""),FALSE)</f>
        <v>0</v>
      </c>
      <c r="AC27" s="4" t="b">
        <f>IF($E27="80m ",IF($D27="MiM ",_xlfn.IFERROR(AD27,VLOOKUP($F27,MiM_Courses!C$3:M$52,11,TRUE)-1),AD27))</f>
        <v>0</v>
      </c>
      <c r="AD27" s="4" t="b">
        <f>IF($E27="80m ",IF($D27="MiM ",VLOOKUP($F27,MiM_Courses!C$3:M$52,11,FALSE),""),FALSE)</f>
        <v>0</v>
      </c>
      <c r="AE27" s="4" t="b">
        <f>IF($E27="120m ",IF($D27="MiM ",_xlfn.IFERROR(AF27,VLOOKUP($G27,MiM_Courses!D$3:M$52,10,TRUE)-1),AF27))</f>
        <v>0</v>
      </c>
      <c r="AF27" s="4" t="b">
        <f>IF($E27="120m ",IF($D27="MiM ",VLOOKUP($G27,MiM_Courses!D$3:M$52,10,FALSE),""),FALSE)</f>
        <v>0</v>
      </c>
      <c r="AG27" s="4" t="b">
        <f>IF($E27="1000m ",IF($D27="MiM ",_xlfn.IFERROR(AH27,VLOOKUP($H27,MiM_Courses!E$3:M$52,9,TRUE)-1),AH27))</f>
        <v>0</v>
      </c>
      <c r="AH27" s="75" t="str">
        <f>IF($E27="1000m ",IF($D27="MiM ",VLOOKUP($H27,MiM_Courses!E$3:M$52,9,FALSE),""),"FAUX")</f>
        <v>FAUX</v>
      </c>
      <c r="AI27" s="75" t="b">
        <f>IF($E27="2000m ",IF($D27="MiM ",_xlfn.IFERROR(AJ27,VLOOKUP($I27,MiM_Courses!F$3:M$52,8,TRUE)-1),AJ27))</f>
        <v>0</v>
      </c>
      <c r="AJ27" s="75" t="str">
        <f>IF($E27="2000m ",IF($D27="MiM ",VLOOKUP($I27,MiM_Courses!F$3:M$52,8,FALSE),""),"FAUX")</f>
        <v>FAUX</v>
      </c>
      <c r="AK27" s="4" t="b">
        <f>IF($E27="100mH ",IF($D27="MiM ",_xlfn.IFERROR(AL27,VLOOKUP($K27,MiM_Courses!H$3:M$52,6,"VRAI")-1),AL27))</f>
        <v>0</v>
      </c>
      <c r="AL27" s="75" t="str">
        <f>IF($E27="100mH ",IF($D27="MiM ",VLOOKUP(K27,MiM_Courses!H$3:M$51,6,FALSE),""),"FAUX")</f>
        <v>FAUX</v>
      </c>
      <c r="AM27" s="75" t="str">
        <f>IF($E27="200mH ",IF($D27="MiM ",_xlfn.IFERROR(AN27,VLOOKUP($L27,MiM_Courses!I$3:M$52,5,TRUE)-1),AN27),"FAUX")</f>
        <v>FAUX</v>
      </c>
      <c r="AN27" s="75" t="str">
        <f>IF($E27="200mH ",IF($D27="MiM ",VLOOKUP($L27,MiM_Courses!I$3:M$52,5,FALSE),""),"FAUX")</f>
        <v>FAUX</v>
      </c>
      <c r="AO27" s="75" t="str">
        <f>IF($E27="3000m Marche ",IF($D27="MiM ",_xlfn.IFERROR(AP27,VLOOKUP($M27,MiM_Courses!J$3:M$52,4,TRUE)-1),AP27),"FAUX")</f>
        <v>FAUX</v>
      </c>
      <c r="AP27" s="75" t="str">
        <f>IF($E27="3000m Marche ",IF($D27="MiM ",VLOOKUP($M27,MiM_Courses!J$3:M$52,4,FALSE),""),"FAUX")</f>
        <v>FAUX</v>
      </c>
    </row>
    <row r="28" spans="1:42" ht="15">
      <c r="A28" s="60"/>
      <c r="B28" s="46"/>
      <c r="C28" s="70"/>
      <c r="D28" s="67" t="s">
        <v>189</v>
      </c>
      <c r="E28" s="37"/>
      <c r="F28" s="171"/>
      <c r="G28" s="172"/>
      <c r="H28" s="167"/>
      <c r="I28" s="48"/>
      <c r="J28" s="48"/>
      <c r="K28" s="48"/>
      <c r="L28" s="48"/>
      <c r="M28" s="107"/>
      <c r="N28" s="61">
        <f t="shared" si="0"/>
        <v>0</v>
      </c>
      <c r="O28" s="95" t="str">
        <f>IF($D28="MiF ",IF($E28="80m ",_xlfn.IFERROR(P28,VLOOKUP(F28,MiF_Courses!$C$3:$M$52,11,TRUE)-1),P28))</f>
        <v>faux</v>
      </c>
      <c r="P28" s="12" t="str">
        <f>IF($D28="MiF ",IF($E28="80m ",VLOOKUP($F28,MiF_Courses!$C$3:$M$52,11,FALSE),"faux"))</f>
        <v>faux</v>
      </c>
      <c r="Q28" s="95" t="str">
        <f>IF($D28="MiF ",IF($E28="120m ",_xlfn.IFERROR(R28,VLOOKUP($G28,MiF_Courses!D$3:M$52,10,TRUE)-1),""),R28)</f>
        <v/>
      </c>
      <c r="R28" s="32" t="str">
        <f>IF($D28="MiF ",IF($E28="120m ",VLOOKUP($G28,MiF_Courses!$D$3:$M$52,10,FALSE),""),"FAUX")</f>
        <v/>
      </c>
      <c r="S28" s="4" t="b">
        <f>IF($E28="1000m ",IF($D28="MiF ",_xlfn.IFERROR(T28,VLOOKUP(ROUNDUP($H28,1),MiF_Courses!E$3:M$52,9,TRUE)-1),T28))</f>
        <v>0</v>
      </c>
      <c r="T28" s="4" t="b">
        <f>IF($E28="1000m ",IF($D28="MiF ",VLOOKUP($H28,MiF_Courses!E$3:M$52,9,FALSE),""))</f>
        <v>0</v>
      </c>
      <c r="U28" s="4" t="str">
        <f>IF($D28="MiF ",IF($E28="2000m ",_xlfn.IFERROR(V28,VLOOKUP($I28,MiF_Courses!F$3:M$52,8,TRUE)-1),""),V28)</f>
        <v/>
      </c>
      <c r="V28" s="4" t="str">
        <f>IF($D28="MiF ",IF($E28="2000m ",VLOOKUP($I28,MiF_Courses!F$3:M$52,8,FALSE),""),"FAUX")</f>
        <v/>
      </c>
      <c r="W28" s="4" t="b">
        <f>IF($E28="80mH ",IF($D28="MiF ",_xlfn.IFERROR(X28,VLOOKUP(ROUNDUP($J28,1),MiF_Courses!H$3:M$52,6,TRUE)-1),X28))</f>
        <v>0</v>
      </c>
      <c r="X28" s="4" t="b">
        <f>IF($E28="80mH ",IF($D28="MiF ",VLOOKUP($J28,MiF_Courses!H$3:M$52,6,FALSE),""))</f>
        <v>0</v>
      </c>
      <c r="Y28" s="3" t="b">
        <f>IF($E28="200mH ",IF($D28="MiF ",_xlfn.IFERROR(Z28,VLOOKUP($L28,MiF_Courses!I$3:M$52,5,TRUE)-1),Z28))</f>
        <v>0</v>
      </c>
      <c r="Z28" s="26" t="str">
        <f>IF($E28="200mH ",IF($D28="MiF ",VLOOKUP($L28,MiF_Courses!I$3:M$52,5,FALSE),""),"FAUX")</f>
        <v>FAUX</v>
      </c>
      <c r="AA28" s="4" t="b">
        <f>IF($E28="3000m Marche ",IF($D28="MiF ",_xlfn.IFERROR(AB28,VLOOKUP($M28,MiF_Courses!J$3:M$52,4,TRUE)-1),AB28))</f>
        <v>0</v>
      </c>
      <c r="AB28" s="4" t="b">
        <f>IF($E28="3000m Marche ",IF($D28="MiF ",VLOOKUP($M28,MiF_Courses!J$3:M$52,4,FALSE),""),FALSE)</f>
        <v>0</v>
      </c>
      <c r="AC28" s="4" t="b">
        <f>IF($E28="80m ",IF($D28="MiM ",_xlfn.IFERROR(AD28,VLOOKUP($F28,MiM_Courses!C$3:M$52,11,TRUE)-1),AD28))</f>
        <v>0</v>
      </c>
      <c r="AD28" s="4" t="b">
        <f>IF($E28="80m ",IF($D28="MiM ",VLOOKUP($F28,MiM_Courses!C$3:M$52,11,FALSE),""),FALSE)</f>
        <v>0</v>
      </c>
      <c r="AE28" s="4" t="b">
        <f>IF($E28="120m ",IF($D28="MiM ",_xlfn.IFERROR(AF28,VLOOKUP($G28,MiM_Courses!D$3:M$52,10,TRUE)-1),AF28))</f>
        <v>0</v>
      </c>
      <c r="AF28" s="4" t="b">
        <f>IF($E28="120m ",IF($D28="MiM ",VLOOKUP($G28,MiM_Courses!D$3:M$52,10,FALSE),""),FALSE)</f>
        <v>0</v>
      </c>
      <c r="AG28" s="4" t="b">
        <f>IF($E28="1000m ",IF($D28="MiM ",_xlfn.IFERROR(AH28,VLOOKUP($H28,MiM_Courses!E$3:M$52,9,TRUE)-1),AH28))</f>
        <v>0</v>
      </c>
      <c r="AH28" s="75" t="str">
        <f>IF($E28="1000m ",IF($D28="MiM ",VLOOKUP($H28,MiM_Courses!E$3:M$52,9,FALSE),""),"FAUX")</f>
        <v>FAUX</v>
      </c>
      <c r="AI28" s="75" t="b">
        <f>IF($E28="2000m ",IF($D28="MiM ",_xlfn.IFERROR(AJ28,VLOOKUP($I28,MiM_Courses!F$3:M$52,8,TRUE)-1),AJ28))</f>
        <v>0</v>
      </c>
      <c r="AJ28" s="75" t="str">
        <f>IF($E28="2000m ",IF($D28="MiM ",VLOOKUP($I28,MiM_Courses!F$3:M$52,8,FALSE),""),"FAUX")</f>
        <v>FAUX</v>
      </c>
      <c r="AK28" s="4" t="b">
        <f>IF($E28="100mH ",IF($D28="MiM ",_xlfn.IFERROR(AL28,VLOOKUP($K28,MiM_Courses!H$3:M$52,6,"VRAI")-1),AL28))</f>
        <v>0</v>
      </c>
      <c r="AL28" s="75" t="str">
        <f>IF($E28="100mH ",IF($D28="MiM ",VLOOKUP(K28,MiM_Courses!H$3:M$51,6,FALSE),""),"FAUX")</f>
        <v>FAUX</v>
      </c>
      <c r="AM28" s="75" t="str">
        <f>IF($E28="200mH ",IF($D28="MiM ",_xlfn.IFERROR(AN28,VLOOKUP($L28,MiM_Courses!I$3:M$52,5,TRUE)-1),AN28),"FAUX")</f>
        <v>FAUX</v>
      </c>
      <c r="AN28" s="75" t="str">
        <f>IF($E28="200mH ",IF($D28="MiM ",VLOOKUP($L28,MiM_Courses!I$3:M$52,5,FALSE),""),"FAUX")</f>
        <v>FAUX</v>
      </c>
      <c r="AO28" s="75" t="str">
        <f>IF($E28="3000m Marche ",IF($D28="MiM ",_xlfn.IFERROR(AP28,VLOOKUP($M28,MiM_Courses!J$3:M$52,4,TRUE)-1),AP28),"FAUX")</f>
        <v>FAUX</v>
      </c>
      <c r="AP28" s="75" t="str">
        <f>IF($E28="3000m Marche ",IF($D28="MiM ",VLOOKUP($M28,MiM_Courses!J$3:M$52,4,FALSE),""),"FAUX")</f>
        <v>FAUX</v>
      </c>
    </row>
    <row r="29" spans="1:42" ht="15">
      <c r="A29" s="60"/>
      <c r="B29" s="46"/>
      <c r="C29" s="70"/>
      <c r="D29" s="67" t="s">
        <v>189</v>
      </c>
      <c r="E29" s="37"/>
      <c r="F29" s="171"/>
      <c r="G29" s="172"/>
      <c r="H29" s="167"/>
      <c r="I29" s="48"/>
      <c r="J29" s="48"/>
      <c r="K29" s="48"/>
      <c r="L29" s="48"/>
      <c r="M29" s="107"/>
      <c r="N29" s="61">
        <f t="shared" si="0"/>
        <v>0</v>
      </c>
      <c r="O29" s="95" t="str">
        <f>IF($D29="MiF ",IF($E29="80m ",_xlfn.IFERROR(P29,VLOOKUP(F29,MiF_Courses!$C$3:$M$52,11,TRUE)-1),P29))</f>
        <v>faux</v>
      </c>
      <c r="P29" s="12" t="str">
        <f>IF($D29="MiF ",IF($E29="80m ",VLOOKUP($F29,MiF_Courses!$C$3:$M$52,11,FALSE),"faux"))</f>
        <v>faux</v>
      </c>
      <c r="Q29" s="95" t="str">
        <f>IF($D29="MiF ",IF($E29="120m ",_xlfn.IFERROR(R29,VLOOKUP($G29,MiF_Courses!D$3:M$52,10,TRUE)-1),""),R29)</f>
        <v/>
      </c>
      <c r="R29" s="32" t="str">
        <f>IF($D29="MiF ",IF($E29="120m ",VLOOKUP($G29,MiF_Courses!$D$3:$M$52,10,FALSE),""),"FAUX")</f>
        <v/>
      </c>
      <c r="S29" s="4" t="b">
        <f>IF($E29="1000m ",IF($D29="MiF ",_xlfn.IFERROR(T29,VLOOKUP(ROUNDUP($H29,1),MiF_Courses!E$3:M$52,9,TRUE)-1),T29))</f>
        <v>0</v>
      </c>
      <c r="T29" s="4" t="b">
        <f>IF($E29="1000m ",IF($D29="MiF ",VLOOKUP($H29,MiF_Courses!E$3:M$52,9,FALSE),""))</f>
        <v>0</v>
      </c>
      <c r="U29" s="4" t="str">
        <f>IF($D29="MiF ",IF($E29="2000m ",_xlfn.IFERROR(V29,VLOOKUP($I29,MiF_Courses!F$3:M$52,8,TRUE)-1),""),V29)</f>
        <v/>
      </c>
      <c r="V29" s="4" t="str">
        <f>IF($D29="MiF ",IF($E29="2000m ",VLOOKUP($I29,MiF_Courses!F$3:M$52,8,FALSE),""),"FAUX")</f>
        <v/>
      </c>
      <c r="W29" s="4" t="b">
        <f>IF($E29="80mH ",IF($D29="MiF ",_xlfn.IFERROR(X29,VLOOKUP(ROUNDUP($J29,1),MiF_Courses!H$3:M$52,6,TRUE)-1),X29))</f>
        <v>0</v>
      </c>
      <c r="X29" s="4" t="b">
        <f>IF($E29="80mH ",IF($D29="MiF ",VLOOKUP($J29,MiF_Courses!H$3:M$52,6,FALSE),""))</f>
        <v>0</v>
      </c>
      <c r="Y29" s="3" t="b">
        <f>IF($E29="200mH ",IF($D29="MiF ",_xlfn.IFERROR(Z29,VLOOKUP($L29,MiF_Courses!I$3:M$52,5,TRUE)-1),Z29))</f>
        <v>0</v>
      </c>
      <c r="Z29" s="26" t="str">
        <f>IF($E29="200mH ",IF($D29="MiF ",VLOOKUP($L29,MiF_Courses!I$3:M$52,5,FALSE),""),"FAUX")</f>
        <v>FAUX</v>
      </c>
      <c r="AA29" s="4" t="b">
        <f>IF($E29="3000m Marche ",IF($D29="MiF ",_xlfn.IFERROR(AB29,VLOOKUP($M29,MiF_Courses!J$3:M$52,4,TRUE)-1),AB29))</f>
        <v>0</v>
      </c>
      <c r="AB29" s="4" t="b">
        <f>IF($E29="3000m Marche ",IF($D29="MiF ",VLOOKUP($M29,MiF_Courses!J$3:M$52,4,FALSE),""),FALSE)</f>
        <v>0</v>
      </c>
      <c r="AC29" s="4" t="b">
        <f>IF($E29="80m ",IF($D29="MiM ",_xlfn.IFERROR(AD29,VLOOKUP($F29,MiM_Courses!C$3:M$52,11,TRUE)-1),AD29))</f>
        <v>0</v>
      </c>
      <c r="AD29" s="4" t="b">
        <f>IF($E29="80m ",IF($D29="MiM ",VLOOKUP($F29,MiM_Courses!C$3:M$52,11,FALSE),""),FALSE)</f>
        <v>0</v>
      </c>
      <c r="AE29" s="4" t="b">
        <f>IF($E29="120m ",IF($D29="MiM ",_xlfn.IFERROR(AF29,VLOOKUP($G29,MiM_Courses!D$3:M$52,10,TRUE)-1),AF29))</f>
        <v>0</v>
      </c>
      <c r="AF29" s="4" t="b">
        <f>IF($E29="120m ",IF($D29="MiM ",VLOOKUP($G29,MiM_Courses!D$3:M$52,10,FALSE),""),FALSE)</f>
        <v>0</v>
      </c>
      <c r="AG29" s="4" t="b">
        <f>IF($E29="1000m ",IF($D29="MiM ",_xlfn.IFERROR(AH29,VLOOKUP($H29,MiM_Courses!E$3:M$52,9,TRUE)-1),AH29))</f>
        <v>0</v>
      </c>
      <c r="AH29" s="75" t="str">
        <f>IF($E29="1000m ",IF($D29="MiM ",VLOOKUP($H29,MiM_Courses!E$3:M$52,9,FALSE),""),"FAUX")</f>
        <v>FAUX</v>
      </c>
      <c r="AI29" s="75" t="b">
        <f>IF($E29="2000m ",IF($D29="MiM ",_xlfn.IFERROR(AJ29,VLOOKUP($I29,MiM_Courses!F$3:M$52,8,TRUE)-1),AJ29))</f>
        <v>0</v>
      </c>
      <c r="AJ29" s="75" t="str">
        <f>IF($E29="2000m ",IF($D29="MiM ",VLOOKUP($I29,MiM_Courses!F$3:M$52,8,FALSE),""),"FAUX")</f>
        <v>FAUX</v>
      </c>
      <c r="AK29" s="4" t="b">
        <f>IF($E29="100mH ",IF($D29="MiM ",_xlfn.IFERROR(AL29,VLOOKUP($K29,MiM_Courses!H$3:M$52,6,"VRAI")-1),AL29))</f>
        <v>0</v>
      </c>
      <c r="AL29" s="75" t="str">
        <f>IF($E29="100mH ",IF($D29="MiM ",VLOOKUP(K29,MiM_Courses!H$3:M$51,6,FALSE),""),"FAUX")</f>
        <v>FAUX</v>
      </c>
      <c r="AM29" s="75" t="str">
        <f>IF($E29="200mH ",IF($D29="MiM ",_xlfn.IFERROR(AN29,VLOOKUP($L29,MiM_Courses!I$3:M$52,5,TRUE)-1),AN29),"FAUX")</f>
        <v>FAUX</v>
      </c>
      <c r="AN29" s="75" t="str">
        <f>IF($E29="200mH ",IF($D29="MiM ",VLOOKUP($L29,MiM_Courses!I$3:M$52,5,FALSE),""),"FAUX")</f>
        <v>FAUX</v>
      </c>
      <c r="AO29" s="75" t="str">
        <f>IF($E29="3000m Marche ",IF($D29="MiM ",_xlfn.IFERROR(AP29,VLOOKUP($M29,MiM_Courses!J$3:M$52,4,TRUE)-1),AP29),"FAUX")</f>
        <v>FAUX</v>
      </c>
      <c r="AP29" s="75" t="str">
        <f>IF($E29="3000m Marche ",IF($D29="MiM ",VLOOKUP($M29,MiM_Courses!J$3:M$52,4,FALSE),""),"FAUX")</f>
        <v>FAUX</v>
      </c>
    </row>
    <row r="30" spans="1:42" ht="15">
      <c r="A30" s="60"/>
      <c r="B30" s="46"/>
      <c r="C30" s="70"/>
      <c r="D30" s="67" t="s">
        <v>189</v>
      </c>
      <c r="E30" s="37"/>
      <c r="F30" s="171"/>
      <c r="G30" s="172"/>
      <c r="H30" s="167"/>
      <c r="I30" s="48"/>
      <c r="J30" s="48"/>
      <c r="K30" s="48"/>
      <c r="L30" s="48"/>
      <c r="M30" s="107"/>
      <c r="N30" s="61">
        <f t="shared" si="0"/>
        <v>0</v>
      </c>
      <c r="O30" s="95" t="str">
        <f>IF($D30="MiF ",IF($E30="80m ",_xlfn.IFERROR(P30,VLOOKUP(F30,MiF_Courses!$C$3:$M$52,11,TRUE)-1),P30))</f>
        <v>faux</v>
      </c>
      <c r="P30" s="12" t="str">
        <f>IF($D30="MiF ",IF($E30="80m ",VLOOKUP($F30,MiF_Courses!$C$3:$M$52,11,FALSE),"faux"))</f>
        <v>faux</v>
      </c>
      <c r="Q30" s="95" t="str">
        <f>IF($D30="MiF ",IF($E30="120m ",_xlfn.IFERROR(R30,VLOOKUP($G30,MiF_Courses!D$3:M$52,10,TRUE)-1),""),R30)</f>
        <v/>
      </c>
      <c r="R30" s="32" t="str">
        <f>IF($D30="MiF ",IF($E30="120m ",VLOOKUP($G30,MiF_Courses!$D$3:$M$52,10,FALSE),""),"FAUX")</f>
        <v/>
      </c>
      <c r="S30" s="4" t="b">
        <f>IF($E30="1000m ",IF($D30="MiF ",_xlfn.IFERROR(T30,VLOOKUP(ROUNDUP($H30,1),MiF_Courses!E$3:M$52,9,TRUE)-1),T30))</f>
        <v>0</v>
      </c>
      <c r="T30" s="4" t="b">
        <f>IF($E30="1000m ",IF($D30="MiF ",VLOOKUP($H30,MiF_Courses!E$3:M$52,9,FALSE),""))</f>
        <v>0</v>
      </c>
      <c r="U30" s="4" t="str">
        <f>IF($D30="MiF ",IF($E30="2000m ",_xlfn.IFERROR(V30,VLOOKUP($I30,MiF_Courses!F$3:M$52,8,TRUE)-1),""),V30)</f>
        <v/>
      </c>
      <c r="V30" s="4" t="str">
        <f>IF($D30="MiF ",IF($E30="2000m ",VLOOKUP($I30,MiF_Courses!F$3:M$52,8,FALSE),""),"FAUX")</f>
        <v/>
      </c>
      <c r="W30" s="4" t="b">
        <f>IF($E30="80mH ",IF($D30="MiF ",_xlfn.IFERROR(X30,VLOOKUP(ROUNDUP($J30,1),MiF_Courses!H$3:M$52,6,TRUE)-1),X30))</f>
        <v>0</v>
      </c>
      <c r="X30" s="4" t="b">
        <f>IF($E30="80mH ",IF($D30="MiF ",VLOOKUP($J30,MiF_Courses!H$3:M$52,6,FALSE),""))</f>
        <v>0</v>
      </c>
      <c r="Y30" s="3" t="b">
        <f>IF($E30="200mH ",IF($D30="MiF ",_xlfn.IFERROR(Z30,VLOOKUP($L30,MiF_Courses!I$3:M$52,5,TRUE)-1),Z30))</f>
        <v>0</v>
      </c>
      <c r="Z30" s="26" t="str">
        <f>IF($E30="200mH ",IF($D30="MiF ",VLOOKUP($L30,MiF_Courses!I$3:M$52,5,FALSE),""),"FAUX")</f>
        <v>FAUX</v>
      </c>
      <c r="AA30" s="4" t="b">
        <f>IF($E30="3000m Marche ",IF($D30="MiF ",_xlfn.IFERROR(AB30,VLOOKUP($M30,MiF_Courses!J$3:M$52,4,TRUE)-1),AB30))</f>
        <v>0</v>
      </c>
      <c r="AB30" s="4" t="b">
        <f>IF($E30="3000m Marche ",IF($D30="MiF ",VLOOKUP($M30,MiF_Courses!J$3:M$52,4,FALSE),""),FALSE)</f>
        <v>0</v>
      </c>
      <c r="AC30" s="4" t="b">
        <f>IF($E30="80m ",IF($D30="MiM ",_xlfn.IFERROR(AD30,VLOOKUP($F30,MiM_Courses!C$3:M$52,11,TRUE)-1),AD30))</f>
        <v>0</v>
      </c>
      <c r="AD30" s="4" t="b">
        <f>IF($E30="80m ",IF($D30="MiM ",VLOOKUP($F30,MiM_Courses!C$3:M$52,11,FALSE),""),FALSE)</f>
        <v>0</v>
      </c>
      <c r="AE30" s="4" t="b">
        <f>IF($E30="120m ",IF($D30="MiM ",_xlfn.IFERROR(AF30,VLOOKUP($G30,MiM_Courses!D$3:M$52,10,TRUE)-1),AF30))</f>
        <v>0</v>
      </c>
      <c r="AF30" s="4" t="b">
        <f>IF($E30="120m ",IF($D30="MiM ",VLOOKUP($G30,MiM_Courses!D$3:M$52,10,FALSE),""),FALSE)</f>
        <v>0</v>
      </c>
      <c r="AG30" s="4" t="b">
        <f>IF($E30="1000m ",IF($D30="MiM ",_xlfn.IFERROR(AH30,VLOOKUP($H30,MiM_Courses!E$3:M$52,9,TRUE)-1),AH30))</f>
        <v>0</v>
      </c>
      <c r="AH30" s="75" t="str">
        <f>IF($E30="1000m ",IF($D30="MiM ",VLOOKUP($H30,MiM_Courses!E$3:M$52,9,FALSE),""),"FAUX")</f>
        <v>FAUX</v>
      </c>
      <c r="AI30" s="75" t="b">
        <f>IF($E30="2000m ",IF($D30="MiM ",_xlfn.IFERROR(AJ30,VLOOKUP($I30,MiM_Courses!F$3:M$52,8,TRUE)-1),AJ30))</f>
        <v>0</v>
      </c>
      <c r="AJ30" s="75" t="str">
        <f>IF($E30="2000m ",IF($D30="MiM ",VLOOKUP($I30,MiM_Courses!F$3:M$52,8,FALSE),""),"FAUX")</f>
        <v>FAUX</v>
      </c>
      <c r="AK30" s="4" t="b">
        <f>IF($E30="100mH ",IF($D30="MiM ",_xlfn.IFERROR(AL30,VLOOKUP($K30,MiM_Courses!H$3:M$52,6,"VRAI")-1),AL30))</f>
        <v>0</v>
      </c>
      <c r="AL30" s="75" t="str">
        <f>IF($E30="100mH ",IF($D30="MiM ",VLOOKUP(K30,MiM_Courses!H$3:M$51,6,FALSE),""),"FAUX")</f>
        <v>FAUX</v>
      </c>
      <c r="AM30" s="75" t="str">
        <f>IF($E30="200mH ",IF($D30="MiM ",_xlfn.IFERROR(AN30,VLOOKUP($L30,MiM_Courses!I$3:M$52,5,TRUE)-1),AN30),"FAUX")</f>
        <v>FAUX</v>
      </c>
      <c r="AN30" s="75" t="str">
        <f>IF($E30="200mH ",IF($D30="MiM ",VLOOKUP($L30,MiM_Courses!I$3:M$52,5,FALSE),""),"FAUX")</f>
        <v>FAUX</v>
      </c>
      <c r="AO30" s="75" t="str">
        <f>IF($E30="3000m Marche ",IF($D30="MiM ",_xlfn.IFERROR(AP30,VLOOKUP($M30,MiM_Courses!J$3:M$52,4,TRUE)-1),AP30),"FAUX")</f>
        <v>FAUX</v>
      </c>
      <c r="AP30" s="75" t="str">
        <f>IF($E30="3000m Marche ",IF($D30="MiM ",VLOOKUP($M30,MiM_Courses!J$3:M$52,4,FALSE),""),"FAUX")</f>
        <v>FAUX</v>
      </c>
    </row>
    <row r="31" spans="1:42" ht="15">
      <c r="A31" s="60"/>
      <c r="B31" s="46"/>
      <c r="C31" s="70"/>
      <c r="D31" s="67" t="s">
        <v>189</v>
      </c>
      <c r="E31" s="37"/>
      <c r="F31" s="171"/>
      <c r="G31" s="172"/>
      <c r="H31" s="167"/>
      <c r="I31" s="48"/>
      <c r="J31" s="48"/>
      <c r="K31" s="48"/>
      <c r="L31" s="48"/>
      <c r="M31" s="107"/>
      <c r="N31" s="61">
        <f t="shared" si="0"/>
        <v>0</v>
      </c>
      <c r="O31" s="95" t="str">
        <f>IF($D31="MiF ",IF($E31="80m ",_xlfn.IFERROR(P31,VLOOKUP(F31,MiF_Courses!$C$3:$M$52,11,TRUE)-1),P31))</f>
        <v>faux</v>
      </c>
      <c r="P31" s="12" t="str">
        <f>IF($D31="MiF ",IF($E31="80m ",VLOOKUP($F31,MiF_Courses!$C$3:$M$52,11,FALSE),"faux"))</f>
        <v>faux</v>
      </c>
      <c r="Q31" s="95" t="str">
        <f>IF($D31="MiF ",IF($E31="120m ",_xlfn.IFERROR(R31,VLOOKUP($G31,MiF_Courses!D$3:M$52,10,TRUE)-1),""),R31)</f>
        <v/>
      </c>
      <c r="R31" s="32" t="str">
        <f>IF($D31="MiF ",IF($E31="120m ",VLOOKUP($G31,MiF_Courses!$D$3:$M$52,10,FALSE),""),"FAUX")</f>
        <v/>
      </c>
      <c r="S31" s="4" t="b">
        <f>IF($E31="1000m ",IF($D31="MiF ",_xlfn.IFERROR(T31,VLOOKUP(ROUNDUP($H31,1),MiF_Courses!E$3:M$52,9,TRUE)-1),T31))</f>
        <v>0</v>
      </c>
      <c r="T31" s="4" t="b">
        <f>IF($E31="1000m ",IF($D31="MiF ",VLOOKUP($H31,MiF_Courses!E$3:M$52,9,FALSE),""))</f>
        <v>0</v>
      </c>
      <c r="U31" s="4" t="str">
        <f>IF($D31="MiF ",IF($E31="2000m ",_xlfn.IFERROR(V31,VLOOKUP($I31,MiF_Courses!F$3:M$52,8,TRUE)-1),""),V31)</f>
        <v/>
      </c>
      <c r="V31" s="4" t="str">
        <f>IF($D31="MiF ",IF($E31="2000m ",VLOOKUP($I31,MiF_Courses!F$3:M$52,8,FALSE),""),"FAUX")</f>
        <v/>
      </c>
      <c r="W31" s="4" t="b">
        <f>IF($E31="80mH ",IF($D31="MiF ",_xlfn.IFERROR(X31,VLOOKUP(ROUNDUP($J31,1),MiF_Courses!H$3:M$52,6,TRUE)-1),X31))</f>
        <v>0</v>
      </c>
      <c r="X31" s="4" t="b">
        <f>IF($E31="80mH ",IF($D31="MiF ",VLOOKUP($J31,MiF_Courses!H$3:M$52,6,FALSE),""))</f>
        <v>0</v>
      </c>
      <c r="Y31" s="3" t="b">
        <f>IF($E31="200mH ",IF($D31="MiF ",_xlfn.IFERROR(Z31,VLOOKUP($L31,MiF_Courses!I$3:M$52,5,TRUE)-1),Z31))</f>
        <v>0</v>
      </c>
      <c r="Z31" s="26" t="str">
        <f>IF($E31="200mH ",IF($D31="MiF ",VLOOKUP($L31,MiF_Courses!I$3:M$52,5,FALSE),""),"FAUX")</f>
        <v>FAUX</v>
      </c>
      <c r="AA31" s="4" t="b">
        <f>IF($E31="3000m Marche ",IF($D31="MiF ",_xlfn.IFERROR(AB31,VLOOKUP($M31,MiF_Courses!J$3:M$52,4,TRUE)-1),AB31))</f>
        <v>0</v>
      </c>
      <c r="AB31" s="4" t="b">
        <f>IF($E31="3000m Marche ",IF($D31="MiF ",VLOOKUP($M31,MiF_Courses!J$3:M$52,4,FALSE),""),FALSE)</f>
        <v>0</v>
      </c>
      <c r="AC31" s="4" t="b">
        <f>IF($E31="80m ",IF($D31="MiM ",_xlfn.IFERROR(AD31,VLOOKUP($F31,MiM_Courses!C$3:M$52,11,TRUE)-1),AD31))</f>
        <v>0</v>
      </c>
      <c r="AD31" s="4" t="b">
        <f>IF($E31="80m ",IF($D31="MiM ",VLOOKUP($F31,MiM_Courses!C$3:M$52,11,FALSE),""),FALSE)</f>
        <v>0</v>
      </c>
      <c r="AE31" s="4" t="b">
        <f>IF($E31="120m ",IF($D31="MiM ",_xlfn.IFERROR(AF31,VLOOKUP($G31,MiM_Courses!D$3:M$52,10,TRUE)-1),AF31))</f>
        <v>0</v>
      </c>
      <c r="AF31" s="4" t="b">
        <f>IF($E31="120m ",IF($D31="MiM ",VLOOKUP($G31,MiM_Courses!D$3:M$52,10,FALSE),""),FALSE)</f>
        <v>0</v>
      </c>
      <c r="AG31" s="4" t="b">
        <f>IF($E31="1000m ",IF($D31="MiM ",_xlfn.IFERROR(AH31,VLOOKUP($H31,MiM_Courses!E$3:M$52,9,TRUE)-1),AH31))</f>
        <v>0</v>
      </c>
      <c r="AH31" s="75" t="str">
        <f>IF($E31="1000m ",IF($D31="MiM ",VLOOKUP($H31,MiM_Courses!E$3:M$52,9,FALSE),""),"FAUX")</f>
        <v>FAUX</v>
      </c>
      <c r="AI31" s="75" t="b">
        <f>IF($E31="2000m ",IF($D31="MiM ",_xlfn.IFERROR(AJ31,VLOOKUP($I31,MiM_Courses!F$3:M$52,8,TRUE)-1),AJ31))</f>
        <v>0</v>
      </c>
      <c r="AJ31" s="75" t="str">
        <f>IF($E31="2000m ",IF($D31="MiM ",VLOOKUP($I31,MiM_Courses!F$3:M$52,8,FALSE),""),"FAUX")</f>
        <v>FAUX</v>
      </c>
      <c r="AK31" s="4" t="b">
        <f>IF($E31="100mH ",IF($D31="MiM ",_xlfn.IFERROR(AL31,VLOOKUP($K31,MiM_Courses!H$3:M$52,6,"VRAI")-1),AL31))</f>
        <v>0</v>
      </c>
      <c r="AL31" s="75" t="str">
        <f>IF($E31="100mH ",IF($D31="MiM ",VLOOKUP(K31,MiM_Courses!H$3:M$51,6,FALSE),""),"FAUX")</f>
        <v>FAUX</v>
      </c>
      <c r="AM31" s="75" t="str">
        <f>IF($E31="200mH ",IF($D31="MiM ",_xlfn.IFERROR(AN31,VLOOKUP($L31,MiM_Courses!I$3:M$52,5,TRUE)-1),AN31),"FAUX")</f>
        <v>FAUX</v>
      </c>
      <c r="AN31" s="75" t="str">
        <f>IF($E31="200mH ",IF($D31="MiM ",VLOOKUP($L31,MiM_Courses!I$3:M$52,5,FALSE),""),"FAUX")</f>
        <v>FAUX</v>
      </c>
      <c r="AO31" s="75" t="str">
        <f>IF($E31="3000m Marche ",IF($D31="MiM ",_xlfn.IFERROR(AP31,VLOOKUP($M31,MiM_Courses!J$3:M$52,4,TRUE)-1),AP31),"FAUX")</f>
        <v>FAUX</v>
      </c>
      <c r="AP31" s="75" t="str">
        <f>IF($E31="3000m Marche ",IF($D31="MiM ",VLOOKUP($M31,MiM_Courses!J$3:M$52,4,FALSE),""),"FAUX")</f>
        <v>FAUX</v>
      </c>
    </row>
    <row r="32" spans="1:42" ht="15">
      <c r="A32" s="60"/>
      <c r="B32" s="46"/>
      <c r="C32" s="70"/>
      <c r="D32" s="67" t="s">
        <v>189</v>
      </c>
      <c r="E32" s="37"/>
      <c r="F32" s="171"/>
      <c r="G32" s="172"/>
      <c r="H32" s="167"/>
      <c r="I32" s="48"/>
      <c r="J32" s="48"/>
      <c r="K32" s="48"/>
      <c r="L32" s="48"/>
      <c r="M32" s="107"/>
      <c r="N32" s="61">
        <f t="shared" si="0"/>
        <v>0</v>
      </c>
      <c r="O32" s="95" t="str">
        <f>IF($D32="MiF ",IF($E32="80m ",_xlfn.IFERROR(P32,VLOOKUP(F32,MiF_Courses!$C$3:$M$52,11,TRUE)-1),P32))</f>
        <v>faux</v>
      </c>
      <c r="P32" s="12" t="str">
        <f>IF($D32="MiF ",IF($E32="80m ",VLOOKUP($F32,MiF_Courses!$C$3:$M$52,11,FALSE),"faux"))</f>
        <v>faux</v>
      </c>
      <c r="Q32" s="95" t="str">
        <f>IF($D32="MiF ",IF($E32="120m ",_xlfn.IFERROR(R32,VLOOKUP($G32,MiF_Courses!D$3:M$52,10,TRUE)-1),""),R32)</f>
        <v/>
      </c>
      <c r="R32" s="32" t="str">
        <f>IF($D32="MiF ",IF($E32="120m ",VLOOKUP($G32,MiF_Courses!$D$3:$M$52,10,FALSE),""),"FAUX")</f>
        <v/>
      </c>
      <c r="S32" s="4" t="b">
        <f>IF($E32="1000m ",IF($D32="MiF ",_xlfn.IFERROR(T32,VLOOKUP(ROUNDUP($H32,1),MiF_Courses!E$3:M$52,9,TRUE)-1),T32))</f>
        <v>0</v>
      </c>
      <c r="T32" s="4" t="b">
        <f>IF($E32="1000m ",IF($D32="MiF ",VLOOKUP($H32,MiF_Courses!E$3:M$52,9,FALSE),""))</f>
        <v>0</v>
      </c>
      <c r="U32" s="4" t="str">
        <f>IF($D32="MiF ",IF($E32="2000m ",_xlfn.IFERROR(V32,VLOOKUP($I32,MiF_Courses!F$3:M$52,8,TRUE)-1),""),V32)</f>
        <v/>
      </c>
      <c r="V32" s="4" t="str">
        <f>IF($D32="MiF ",IF($E32="2000m ",VLOOKUP($I32,MiF_Courses!F$3:M$52,8,FALSE),""),"FAUX")</f>
        <v/>
      </c>
      <c r="W32" s="4" t="b">
        <f>IF($E32="80mH ",IF($D32="MiF ",_xlfn.IFERROR(X32,VLOOKUP(ROUNDUP($J32,1),MiF_Courses!H$3:M$52,6,TRUE)-1),X32))</f>
        <v>0</v>
      </c>
      <c r="X32" s="4" t="b">
        <f>IF($E32="80mH ",IF($D32="MiF ",VLOOKUP($J32,MiF_Courses!H$3:M$52,6,FALSE),""))</f>
        <v>0</v>
      </c>
      <c r="Y32" s="3" t="b">
        <f>IF($E32="200mH ",IF($D32="MiF ",_xlfn.IFERROR(Z32,VLOOKUP($L32,MiF_Courses!I$3:M$52,5,TRUE)-1),Z32))</f>
        <v>0</v>
      </c>
      <c r="Z32" s="26" t="str">
        <f>IF($E32="200mH ",IF($D32="MiF ",VLOOKUP($L32,MiF_Courses!I$3:M$52,5,FALSE),""),"FAUX")</f>
        <v>FAUX</v>
      </c>
      <c r="AA32" s="4" t="b">
        <f>IF($E32="3000m Marche ",IF($D32="MiF ",_xlfn.IFERROR(AB32,VLOOKUP($M32,MiF_Courses!J$3:M$52,4,TRUE)-1),AB32))</f>
        <v>0</v>
      </c>
      <c r="AB32" s="4" t="b">
        <f>IF($E32="3000m Marche ",IF($D32="MiF ",VLOOKUP($M32,MiF_Courses!J$3:M$52,4,FALSE),""),FALSE)</f>
        <v>0</v>
      </c>
      <c r="AC32" s="4" t="b">
        <f>IF($E32="80m ",IF($D32="MiM ",_xlfn.IFERROR(AD32,VLOOKUP($F32,MiM_Courses!C$3:M$52,11,TRUE)-1),AD32))</f>
        <v>0</v>
      </c>
      <c r="AD32" s="4" t="b">
        <f>IF($E32="80m ",IF($D32="MiM ",VLOOKUP($F32,MiM_Courses!C$3:M$52,11,FALSE),""),FALSE)</f>
        <v>0</v>
      </c>
      <c r="AE32" s="4" t="b">
        <f>IF($E32="120m ",IF($D32="MiM ",_xlfn.IFERROR(AF32,VLOOKUP($G32,MiM_Courses!D$3:M$52,10,TRUE)-1),AF32))</f>
        <v>0</v>
      </c>
      <c r="AF32" s="4" t="b">
        <f>IF($E32="120m ",IF($D32="MiM ",VLOOKUP($G32,MiM_Courses!D$3:M$52,10,FALSE),""),FALSE)</f>
        <v>0</v>
      </c>
      <c r="AG32" s="4" t="b">
        <f>IF($E32="1000m ",IF($D32="MiM ",_xlfn.IFERROR(AH32,VLOOKUP($H32,MiM_Courses!E$3:M$52,9,TRUE)-1),AH32))</f>
        <v>0</v>
      </c>
      <c r="AH32" s="75" t="str">
        <f>IF($E32="1000m ",IF($D32="MiM ",VLOOKUP($H32,MiM_Courses!E$3:M$52,9,FALSE),""),"FAUX")</f>
        <v>FAUX</v>
      </c>
      <c r="AI32" s="75" t="b">
        <f>IF($E32="2000m ",IF($D32="MiM ",_xlfn.IFERROR(AJ32,VLOOKUP($I32,MiM_Courses!F$3:M$52,8,TRUE)-1),AJ32))</f>
        <v>0</v>
      </c>
      <c r="AJ32" s="75" t="str">
        <f>IF($E32="2000m ",IF($D32="MiM ",VLOOKUP($I32,MiM_Courses!F$3:M$52,8,FALSE),""),"FAUX")</f>
        <v>FAUX</v>
      </c>
      <c r="AK32" s="4" t="b">
        <f>IF($E32="100mH ",IF($D32="MiM ",_xlfn.IFERROR(AL32,VLOOKUP($K32,MiM_Courses!H$3:M$52,6,"VRAI")-1),AL32))</f>
        <v>0</v>
      </c>
      <c r="AL32" s="75" t="str">
        <f>IF($E32="100mH ",IF($D32="MiM ",VLOOKUP(K32,MiM_Courses!H$3:M$51,6,FALSE),""),"FAUX")</f>
        <v>FAUX</v>
      </c>
      <c r="AM32" s="75" t="str">
        <f>IF($E32="200mH ",IF($D32="MiM ",_xlfn.IFERROR(AN32,VLOOKUP($L32,MiM_Courses!I$3:M$52,5,TRUE)-1),AN32),"FAUX")</f>
        <v>FAUX</v>
      </c>
      <c r="AN32" s="75" t="str">
        <f>IF($E32="200mH ",IF($D32="MiM ",VLOOKUP($L32,MiM_Courses!I$3:M$52,5,FALSE),""),"FAUX")</f>
        <v>FAUX</v>
      </c>
      <c r="AO32" s="75" t="str">
        <f>IF($E32="3000m Marche ",IF($D32="MiM ",_xlfn.IFERROR(AP32,VLOOKUP($M32,MiM_Courses!J$3:M$52,4,TRUE)-1),AP32),"FAUX")</f>
        <v>FAUX</v>
      </c>
      <c r="AP32" s="75" t="str">
        <f>IF($E32="3000m Marche ",IF($D32="MiM ",VLOOKUP($M32,MiM_Courses!J$3:M$52,4,FALSE),""),"FAUX")</f>
        <v>FAUX</v>
      </c>
    </row>
    <row r="33" spans="1:42" ht="15">
      <c r="A33" s="60"/>
      <c r="B33" s="46"/>
      <c r="C33" s="70"/>
      <c r="D33" s="67" t="s">
        <v>189</v>
      </c>
      <c r="E33" s="37"/>
      <c r="F33" s="171"/>
      <c r="G33" s="172"/>
      <c r="H33" s="167"/>
      <c r="I33" s="48"/>
      <c r="J33" s="48"/>
      <c r="K33" s="48"/>
      <c r="L33" s="48"/>
      <c r="M33" s="107"/>
      <c r="N33" s="61">
        <f t="shared" si="0"/>
        <v>0</v>
      </c>
      <c r="O33" s="95" t="str">
        <f>IF($D33="MiF ",IF($E33="80m ",_xlfn.IFERROR(P33,VLOOKUP(F33,MiF_Courses!$C$3:$M$52,11,TRUE)-1),P33))</f>
        <v>faux</v>
      </c>
      <c r="P33" s="12" t="str">
        <f>IF($D33="MiF ",IF($E33="80m ",VLOOKUP($F33,MiF_Courses!$C$3:$M$52,11,FALSE),"faux"))</f>
        <v>faux</v>
      </c>
      <c r="Q33" s="95" t="str">
        <f>IF($D33="MiF ",IF($E33="120m ",_xlfn.IFERROR(R33,VLOOKUP($G33,MiF_Courses!D$3:M$52,10,TRUE)-1),""),R33)</f>
        <v/>
      </c>
      <c r="R33" s="32" t="str">
        <f>IF($D33="MiF ",IF($E33="120m ",VLOOKUP($G33,MiF_Courses!$D$3:$M$52,10,FALSE),""),"FAUX")</f>
        <v/>
      </c>
      <c r="S33" s="4" t="b">
        <f>IF($E33="1000m ",IF($D33="MiF ",_xlfn.IFERROR(T33,VLOOKUP(ROUNDUP($H33,1),MiF_Courses!E$3:M$52,9,TRUE)-1),T33))</f>
        <v>0</v>
      </c>
      <c r="T33" s="4" t="b">
        <f>IF($E33="1000m ",IF($D33="MiF ",VLOOKUP($H33,MiF_Courses!E$3:M$52,9,FALSE),""))</f>
        <v>0</v>
      </c>
      <c r="U33" s="4" t="str">
        <f>IF($D33="MiF ",IF($E33="2000m ",_xlfn.IFERROR(V33,VLOOKUP($I33,MiF_Courses!F$3:M$52,8,TRUE)-1),""),V33)</f>
        <v/>
      </c>
      <c r="V33" s="4" t="str">
        <f>IF($D33="MiF ",IF($E33="2000m ",VLOOKUP($I33,MiF_Courses!F$3:M$52,8,FALSE),""),"FAUX")</f>
        <v/>
      </c>
      <c r="W33" s="4" t="b">
        <f>IF($E33="80mH ",IF($D33="MiF ",_xlfn.IFERROR(X33,VLOOKUP(ROUNDUP($J33,1),MiF_Courses!H$3:M$52,6,TRUE)-1),X33))</f>
        <v>0</v>
      </c>
      <c r="X33" s="4" t="b">
        <f>IF($E33="80mH ",IF($D33="MiF ",VLOOKUP($J33,MiF_Courses!H$3:M$52,6,FALSE),""))</f>
        <v>0</v>
      </c>
      <c r="Y33" s="3" t="b">
        <f>IF($E33="200mH ",IF($D33="MiF ",_xlfn.IFERROR(Z33,VLOOKUP($L33,MiF_Courses!I$3:M$52,5,TRUE)-1),Z33))</f>
        <v>0</v>
      </c>
      <c r="Z33" s="26" t="str">
        <f>IF($E33="200mH ",IF($D33="MiF ",VLOOKUP($L33,MiF_Courses!I$3:M$52,5,FALSE),""),"FAUX")</f>
        <v>FAUX</v>
      </c>
      <c r="AA33" s="4" t="b">
        <f>IF($E33="3000m Marche ",IF($D33="MiF ",_xlfn.IFERROR(AB33,VLOOKUP($M33,MiF_Courses!J$3:M$52,4,TRUE)-1),AB33))</f>
        <v>0</v>
      </c>
      <c r="AB33" s="4" t="b">
        <f>IF($E33="3000m Marche ",IF($D33="MiF ",VLOOKUP($M33,MiF_Courses!J$3:M$52,4,FALSE),""),FALSE)</f>
        <v>0</v>
      </c>
      <c r="AC33" s="4" t="b">
        <f>IF($E33="80m ",IF($D33="MiM ",_xlfn.IFERROR(AD33,VLOOKUP($F33,MiM_Courses!C$3:M$52,11,TRUE)-1),AD33))</f>
        <v>0</v>
      </c>
      <c r="AD33" s="4" t="b">
        <f>IF($E33="80m ",IF($D33="MiM ",VLOOKUP($F33,MiM_Courses!C$3:M$52,11,FALSE),""),FALSE)</f>
        <v>0</v>
      </c>
      <c r="AE33" s="4" t="b">
        <f>IF($E33="120m ",IF($D33="MiM ",_xlfn.IFERROR(AF33,VLOOKUP($G33,MiM_Courses!D$3:M$52,10,TRUE)-1),AF33))</f>
        <v>0</v>
      </c>
      <c r="AF33" s="4" t="b">
        <f>IF($E33="120m ",IF($D33="MiM ",VLOOKUP($G33,MiM_Courses!D$3:M$52,10,FALSE),""),FALSE)</f>
        <v>0</v>
      </c>
      <c r="AG33" s="4" t="b">
        <f>IF($E33="1000m ",IF($D33="MiM ",_xlfn.IFERROR(AH33,VLOOKUP($H33,MiM_Courses!E$3:M$52,9,TRUE)-1),AH33))</f>
        <v>0</v>
      </c>
      <c r="AH33" s="75" t="str">
        <f>IF($E33="1000m ",IF($D33="MiM ",VLOOKUP($H33,MiM_Courses!E$3:M$52,9,FALSE),""),"FAUX")</f>
        <v>FAUX</v>
      </c>
      <c r="AI33" s="75" t="b">
        <f>IF($E33="2000m ",IF($D33="MiM ",_xlfn.IFERROR(AJ33,VLOOKUP($I33,MiM_Courses!F$3:M$52,8,TRUE)-1),AJ33))</f>
        <v>0</v>
      </c>
      <c r="AJ33" s="75" t="str">
        <f>IF($E33="2000m ",IF($D33="MiM ",VLOOKUP($I33,MiM_Courses!F$3:M$52,8,FALSE),""),"FAUX")</f>
        <v>FAUX</v>
      </c>
      <c r="AK33" s="4" t="b">
        <f>IF($E33="100mH ",IF($D33="MiM ",_xlfn.IFERROR(AL33,VLOOKUP($K33,MiM_Courses!H$3:M$52,6,"VRAI")-1),AL33))</f>
        <v>0</v>
      </c>
      <c r="AL33" s="75" t="str">
        <f>IF($E33="100mH ",IF($D33="MiM ",VLOOKUP(K33,MiM_Courses!H$3:M$51,6,FALSE),""),"FAUX")</f>
        <v>FAUX</v>
      </c>
      <c r="AM33" s="75" t="str">
        <f>IF($E33="200mH ",IF($D33="MiM ",_xlfn.IFERROR(AN33,VLOOKUP($L33,MiM_Courses!I$3:M$52,5,TRUE)-1),AN33),"FAUX")</f>
        <v>FAUX</v>
      </c>
      <c r="AN33" s="75" t="str">
        <f>IF($E33="200mH ",IF($D33="MiM ",VLOOKUP($L33,MiM_Courses!I$3:M$52,5,FALSE),""),"FAUX")</f>
        <v>FAUX</v>
      </c>
      <c r="AO33" s="75" t="str">
        <f>IF($E33="3000m Marche ",IF($D33="MiM ",_xlfn.IFERROR(AP33,VLOOKUP($M33,MiM_Courses!J$3:M$52,4,TRUE)-1),AP33),"FAUX")</f>
        <v>FAUX</v>
      </c>
      <c r="AP33" s="75" t="str">
        <f>IF($E33="3000m Marche ",IF($D33="MiM ",VLOOKUP($M33,MiM_Courses!J$3:M$52,4,FALSE),""),"FAUX")</f>
        <v>FAUX</v>
      </c>
    </row>
    <row r="34" spans="1:42" ht="15">
      <c r="A34" s="60"/>
      <c r="B34" s="46"/>
      <c r="C34" s="70"/>
      <c r="D34" s="67" t="s">
        <v>189</v>
      </c>
      <c r="E34" s="37"/>
      <c r="F34" s="171"/>
      <c r="G34" s="172"/>
      <c r="H34" s="167"/>
      <c r="I34" s="48"/>
      <c r="J34" s="48"/>
      <c r="K34" s="48"/>
      <c r="L34" s="48"/>
      <c r="M34" s="107"/>
      <c r="N34" s="61">
        <f t="shared" si="0"/>
        <v>0</v>
      </c>
      <c r="O34" s="95" t="str">
        <f>IF($D34="MiF ",IF($E34="80m ",_xlfn.IFERROR(P34,VLOOKUP(F34,MiF_Courses!$C$3:$M$52,11,TRUE)-1),P34))</f>
        <v>faux</v>
      </c>
      <c r="P34" s="12" t="str">
        <f>IF($D34="MiF ",IF($E34="80m ",VLOOKUP($F34,MiF_Courses!$C$3:$M$52,11,FALSE),"faux"))</f>
        <v>faux</v>
      </c>
      <c r="Q34" s="95" t="str">
        <f>IF($D34="MiF ",IF($E34="120m ",_xlfn.IFERROR(R34,VLOOKUP($G34,MiF_Courses!D$3:M$52,10,TRUE)-1),""),R34)</f>
        <v/>
      </c>
      <c r="R34" s="32" t="str">
        <f>IF($D34="MiF ",IF($E34="120m ",VLOOKUP($G34,MiF_Courses!$D$3:$M$52,10,FALSE),""),"FAUX")</f>
        <v/>
      </c>
      <c r="S34" s="4" t="b">
        <f>IF($E34="1000m ",IF($D34="MiF ",_xlfn.IFERROR(T34,VLOOKUP(ROUNDUP($H34,1),MiF_Courses!E$3:M$52,9,TRUE)-1),T34))</f>
        <v>0</v>
      </c>
      <c r="T34" s="4" t="b">
        <f>IF($E34="1000m ",IF($D34="MiF ",VLOOKUP($H34,MiF_Courses!E$3:M$52,9,FALSE),""))</f>
        <v>0</v>
      </c>
      <c r="U34" s="4" t="str">
        <f>IF($D34="MiF ",IF($E34="2000m ",_xlfn.IFERROR(V34,VLOOKUP($I34,MiF_Courses!F$3:M$52,8,TRUE)-1),""),V34)</f>
        <v/>
      </c>
      <c r="V34" s="4" t="str">
        <f>IF($D34="MiF ",IF($E34="2000m ",VLOOKUP($I34,MiF_Courses!F$3:M$52,8,FALSE),""),"FAUX")</f>
        <v/>
      </c>
      <c r="W34" s="4" t="b">
        <f>IF($E34="80mH ",IF($D34="MiF ",_xlfn.IFERROR(X34,VLOOKUP(ROUNDUP($J34,1),MiF_Courses!H$3:M$52,6,TRUE)-1),X34))</f>
        <v>0</v>
      </c>
      <c r="X34" s="4" t="b">
        <f>IF($E34="80mH ",IF($D34="MiF ",VLOOKUP($J34,MiF_Courses!H$3:M$52,6,FALSE),""))</f>
        <v>0</v>
      </c>
      <c r="Y34" s="3" t="b">
        <f>IF($E34="200mH ",IF($D34="MiF ",_xlfn.IFERROR(Z34,VLOOKUP($L34,MiF_Courses!I$3:M$52,5,TRUE)-1),Z34))</f>
        <v>0</v>
      </c>
      <c r="Z34" s="26" t="str">
        <f>IF($E34="200mH ",IF($D34="MiF ",VLOOKUP($L34,MiF_Courses!I$3:M$52,5,FALSE),""),"FAUX")</f>
        <v>FAUX</v>
      </c>
      <c r="AA34" s="4" t="b">
        <f>IF($E34="3000m Marche ",IF($D34="MiF ",_xlfn.IFERROR(AB34,VLOOKUP($M34,MiF_Courses!J$3:M$52,4,TRUE)-1),AB34))</f>
        <v>0</v>
      </c>
      <c r="AB34" s="4" t="b">
        <f>IF($E34="3000m Marche ",IF($D34="MiF ",VLOOKUP($M34,MiF_Courses!J$3:M$52,4,FALSE),""),FALSE)</f>
        <v>0</v>
      </c>
      <c r="AC34" s="4" t="b">
        <f>IF($E34="80m ",IF($D34="MiM ",_xlfn.IFERROR(AD34,VLOOKUP($F34,MiM_Courses!C$3:M$52,11,TRUE)-1),AD34))</f>
        <v>0</v>
      </c>
      <c r="AD34" s="4" t="b">
        <f>IF($E34="80m ",IF($D34="MiM ",VLOOKUP($F34,MiM_Courses!C$3:M$52,11,FALSE),""),FALSE)</f>
        <v>0</v>
      </c>
      <c r="AE34" s="4" t="b">
        <f>IF($E34="120m ",IF($D34="MiM ",_xlfn.IFERROR(AF34,VLOOKUP($G34,MiM_Courses!D$3:M$52,10,TRUE)-1),AF34))</f>
        <v>0</v>
      </c>
      <c r="AF34" s="4" t="b">
        <f>IF($E34="120m ",IF($D34="MiM ",VLOOKUP($G34,MiM_Courses!D$3:M$52,10,FALSE),""),FALSE)</f>
        <v>0</v>
      </c>
      <c r="AG34" s="4" t="b">
        <f>IF($E34="1000m ",IF($D34="MiM ",_xlfn.IFERROR(AH34,VLOOKUP($H34,MiM_Courses!E$3:M$52,9,TRUE)-1),AH34))</f>
        <v>0</v>
      </c>
      <c r="AH34" s="75" t="str">
        <f>IF($E34="1000m ",IF($D34="MiM ",VLOOKUP($H34,MiM_Courses!E$3:M$52,9,FALSE),""),"FAUX")</f>
        <v>FAUX</v>
      </c>
      <c r="AI34" s="75" t="b">
        <f>IF($E34="2000m ",IF($D34="MiM ",_xlfn.IFERROR(AJ34,VLOOKUP($I34,MiM_Courses!F$3:M$52,8,TRUE)-1),AJ34))</f>
        <v>0</v>
      </c>
      <c r="AJ34" s="75" t="str">
        <f>IF($E34="2000m ",IF($D34="MiM ",VLOOKUP($I34,MiM_Courses!F$3:M$52,8,FALSE),""),"FAUX")</f>
        <v>FAUX</v>
      </c>
      <c r="AK34" s="4" t="b">
        <f>IF($E34="100mH ",IF($D34="MiM ",_xlfn.IFERROR(AL34,VLOOKUP($K34,MiM_Courses!H$3:M$52,6,"VRAI")-1),AL34))</f>
        <v>0</v>
      </c>
      <c r="AL34" s="75" t="str">
        <f>IF($E34="100mH ",IF($D34="MiM ",VLOOKUP(K34,MiM_Courses!H$3:M$51,6,FALSE),""),"FAUX")</f>
        <v>FAUX</v>
      </c>
      <c r="AM34" s="75" t="str">
        <f>IF($E34="200mH ",IF($D34="MiM ",_xlfn.IFERROR(AN34,VLOOKUP($L34,MiM_Courses!I$3:M$52,5,TRUE)-1),AN34),"FAUX")</f>
        <v>FAUX</v>
      </c>
      <c r="AN34" s="75" t="str">
        <f>IF($E34="200mH ",IF($D34="MiM ",VLOOKUP($L34,MiM_Courses!I$3:M$52,5,FALSE),""),"FAUX")</f>
        <v>FAUX</v>
      </c>
      <c r="AO34" s="75" t="str">
        <f>IF($E34="3000m Marche ",IF($D34="MiM ",_xlfn.IFERROR(AP34,VLOOKUP($M34,MiM_Courses!J$3:M$52,4,TRUE)-1),AP34),"FAUX")</f>
        <v>FAUX</v>
      </c>
      <c r="AP34" s="75" t="str">
        <f>IF($E34="3000m Marche ",IF($D34="MiM ",VLOOKUP($M34,MiM_Courses!J$3:M$52,4,FALSE),""),"FAUX")</f>
        <v>FAUX</v>
      </c>
    </row>
    <row r="35" spans="1:42" ht="15">
      <c r="A35" s="60"/>
      <c r="B35" s="46"/>
      <c r="C35" s="70"/>
      <c r="D35" s="67" t="s">
        <v>189</v>
      </c>
      <c r="E35" s="37"/>
      <c r="F35" s="171"/>
      <c r="G35" s="172"/>
      <c r="H35" s="167"/>
      <c r="I35" s="48"/>
      <c r="J35" s="48"/>
      <c r="K35" s="48"/>
      <c r="L35" s="48"/>
      <c r="M35" s="107"/>
      <c r="N35" s="61">
        <f t="shared" si="0"/>
        <v>0</v>
      </c>
      <c r="O35" s="95" t="str">
        <f>IF($D35="MiF ",IF($E35="80m ",_xlfn.IFERROR(P35,VLOOKUP(F35,MiF_Courses!$C$3:$M$52,11,TRUE)-1),P35))</f>
        <v>faux</v>
      </c>
      <c r="P35" s="12" t="str">
        <f>IF($D35="MiF ",IF($E35="80m ",VLOOKUP($F35,MiF_Courses!$C$3:$M$52,11,FALSE),"faux"))</f>
        <v>faux</v>
      </c>
      <c r="Q35" s="95" t="str">
        <f>IF($D35="MiF ",IF($E35="120m ",_xlfn.IFERROR(R35,VLOOKUP($G35,MiF_Courses!D$3:M$52,10,TRUE)-1),""),R35)</f>
        <v/>
      </c>
      <c r="R35" s="32" t="str">
        <f>IF($D35="MiF ",IF($E35="120m ",VLOOKUP($G35,MiF_Courses!$D$3:$M$52,10,FALSE),""),"FAUX")</f>
        <v/>
      </c>
      <c r="S35" s="4" t="b">
        <f>IF($E35="1000m ",IF($D35="MiF ",_xlfn.IFERROR(T35,VLOOKUP(ROUNDUP($H35,1),MiF_Courses!E$3:M$52,9,TRUE)-1),T35))</f>
        <v>0</v>
      </c>
      <c r="T35" s="4" t="b">
        <f>IF($E35="1000m ",IF($D35="MiF ",VLOOKUP($H35,MiF_Courses!E$3:M$52,9,FALSE),""))</f>
        <v>0</v>
      </c>
      <c r="U35" s="4" t="str">
        <f>IF($D35="MiF ",IF($E35="2000m ",_xlfn.IFERROR(V35,VLOOKUP($I35,MiF_Courses!F$3:M$52,8,TRUE)-1),""),V35)</f>
        <v/>
      </c>
      <c r="V35" s="4" t="str">
        <f>IF($D35="MiF ",IF($E35="2000m ",VLOOKUP($I35,MiF_Courses!F$3:M$52,8,FALSE),""),"FAUX")</f>
        <v/>
      </c>
      <c r="W35" s="4" t="b">
        <f>IF($E35="80mH ",IF($D35="MiF ",_xlfn.IFERROR(X35,VLOOKUP(ROUNDUP($J35,1),MiF_Courses!H$3:M$52,6,TRUE)-1),X35))</f>
        <v>0</v>
      </c>
      <c r="X35" s="4" t="b">
        <f>IF($E35="80mH ",IF($D35="MiF ",VLOOKUP($J35,MiF_Courses!H$3:M$52,6,FALSE),""))</f>
        <v>0</v>
      </c>
      <c r="Y35" s="3" t="b">
        <f>IF($E35="200mH ",IF($D35="MiF ",_xlfn.IFERROR(Z35,VLOOKUP($L35,MiF_Courses!I$3:M$52,5,TRUE)-1),Z35))</f>
        <v>0</v>
      </c>
      <c r="Z35" s="26" t="str">
        <f>IF($E35="200mH ",IF($D35="MiF ",VLOOKUP($L35,MiF_Courses!I$3:M$52,5,FALSE),""),"FAUX")</f>
        <v>FAUX</v>
      </c>
      <c r="AA35" s="4" t="b">
        <f>IF($E35="3000m Marche ",IF($D35="MiF ",_xlfn.IFERROR(AB35,VLOOKUP($M35,MiF_Courses!J$3:M$52,4,TRUE)-1),AB35))</f>
        <v>0</v>
      </c>
      <c r="AB35" s="4" t="b">
        <f>IF($E35="3000m Marche ",IF($D35="MiF ",VLOOKUP($M35,MiF_Courses!J$3:M$52,4,FALSE),""),FALSE)</f>
        <v>0</v>
      </c>
      <c r="AC35" s="4" t="b">
        <f>IF($E35="80m ",IF($D35="MiM ",_xlfn.IFERROR(AD35,VLOOKUP($F35,MiM_Courses!C$3:M$52,11,TRUE)-1),AD35))</f>
        <v>0</v>
      </c>
      <c r="AD35" s="4" t="b">
        <f>IF($E35="80m ",IF($D35="MiM ",VLOOKUP($F35,MiM_Courses!C$3:M$52,11,FALSE),""),FALSE)</f>
        <v>0</v>
      </c>
      <c r="AE35" s="4" t="b">
        <f>IF($E35="120m ",IF($D35="MiM ",_xlfn.IFERROR(AF35,VLOOKUP($G35,MiM_Courses!D$3:M$52,10,TRUE)-1),AF35))</f>
        <v>0</v>
      </c>
      <c r="AF35" s="4" t="b">
        <f>IF($E35="120m ",IF($D35="MiM ",VLOOKUP($G35,MiM_Courses!D$3:M$52,10,FALSE),""),FALSE)</f>
        <v>0</v>
      </c>
      <c r="AG35" s="4" t="b">
        <f>IF($E35="1000m ",IF($D35="MiM ",_xlfn.IFERROR(AH35,VLOOKUP($H35,MiM_Courses!E$3:M$52,9,TRUE)-1),AH35))</f>
        <v>0</v>
      </c>
      <c r="AH35" s="75" t="str">
        <f>IF($E35="1000m ",IF($D35="MiM ",VLOOKUP($H35,MiM_Courses!E$3:M$52,9,FALSE),""),"FAUX")</f>
        <v>FAUX</v>
      </c>
      <c r="AI35" s="75" t="b">
        <f>IF($E35="2000m ",IF($D35="MiM ",_xlfn.IFERROR(AJ35,VLOOKUP($I35,MiM_Courses!F$3:M$52,8,TRUE)-1),AJ35))</f>
        <v>0</v>
      </c>
      <c r="AJ35" s="75" t="str">
        <f>IF($E35="2000m ",IF($D35="MiM ",VLOOKUP($I35,MiM_Courses!F$3:M$52,8,FALSE),""),"FAUX")</f>
        <v>FAUX</v>
      </c>
      <c r="AK35" s="4" t="b">
        <f>IF($E35="100mH ",IF($D35="MiM ",_xlfn.IFERROR(AL35,VLOOKUP($K35,MiM_Courses!H$3:M$52,6,"VRAI")-1),AL35))</f>
        <v>0</v>
      </c>
      <c r="AL35" s="75" t="str">
        <f>IF($E35="100mH ",IF($D35="MiM ",VLOOKUP(K35,MiM_Courses!H$3:M$51,6,FALSE),""),"FAUX")</f>
        <v>FAUX</v>
      </c>
      <c r="AM35" s="75" t="str">
        <f>IF($E35="200mH ",IF($D35="MiM ",_xlfn.IFERROR(AN35,VLOOKUP($L35,MiM_Courses!I$3:M$52,5,TRUE)-1),AN35),"FAUX")</f>
        <v>FAUX</v>
      </c>
      <c r="AN35" s="75" t="str">
        <f>IF($E35="200mH ",IF($D35="MiM ",VLOOKUP($L35,MiM_Courses!I$3:M$52,5,FALSE),""),"FAUX")</f>
        <v>FAUX</v>
      </c>
      <c r="AO35" s="75" t="str">
        <f>IF($E35="3000m Marche ",IF($D35="MiM ",_xlfn.IFERROR(AP35,VLOOKUP($M35,MiM_Courses!J$3:M$52,4,TRUE)-1),AP35),"FAUX")</f>
        <v>FAUX</v>
      </c>
      <c r="AP35" s="75" t="str">
        <f>IF($E35="3000m Marche ",IF($D35="MiM ",VLOOKUP($M35,MiM_Courses!J$3:M$52,4,FALSE),""),"FAUX")</f>
        <v>FAUX</v>
      </c>
    </row>
    <row r="36" spans="1:42" ht="15">
      <c r="A36" s="60"/>
      <c r="B36" s="46"/>
      <c r="C36" s="70"/>
      <c r="D36" s="67" t="s">
        <v>189</v>
      </c>
      <c r="E36" s="37"/>
      <c r="F36" s="171"/>
      <c r="G36" s="172"/>
      <c r="H36" s="167"/>
      <c r="I36" s="48"/>
      <c r="J36" s="48"/>
      <c r="K36" s="48"/>
      <c r="L36" s="48"/>
      <c r="M36" s="107"/>
      <c r="N36" s="61">
        <f t="shared" si="0"/>
        <v>0</v>
      </c>
      <c r="O36" s="95" t="str">
        <f>IF($D36="MiF ",IF($E36="80m ",_xlfn.IFERROR(P36,VLOOKUP(F36,MiF_Courses!$C$3:$M$52,11,TRUE)-1),P36))</f>
        <v>faux</v>
      </c>
      <c r="P36" s="12" t="str">
        <f>IF($D36="MiF ",IF($E36="80m ",VLOOKUP($F36,MiF_Courses!$C$3:$M$52,11,FALSE),"faux"))</f>
        <v>faux</v>
      </c>
      <c r="Q36" s="95" t="str">
        <f>IF($D36="MiF ",IF($E36="120m ",_xlfn.IFERROR(R36,VLOOKUP($G36,MiF_Courses!D$3:M$52,10,TRUE)-1),""),R36)</f>
        <v/>
      </c>
      <c r="R36" s="32" t="str">
        <f>IF($D36="MiF ",IF($E36="120m ",VLOOKUP($G36,MiF_Courses!$D$3:$M$52,10,FALSE),""),"FAUX")</f>
        <v/>
      </c>
      <c r="S36" s="4" t="b">
        <f>IF($E36="1000m ",IF($D36="MiF ",_xlfn.IFERROR(T36,VLOOKUP(ROUNDUP($H36,1),MiF_Courses!E$3:M$52,9,TRUE)-1),T36))</f>
        <v>0</v>
      </c>
      <c r="T36" s="4" t="b">
        <f>IF($E36="1000m ",IF($D36="MiF ",VLOOKUP($H36,MiF_Courses!E$3:M$52,9,FALSE),""))</f>
        <v>0</v>
      </c>
      <c r="U36" s="4" t="str">
        <f>IF($D36="MiF ",IF($E36="2000m ",_xlfn.IFERROR(V36,VLOOKUP($I36,MiF_Courses!F$3:M$52,8,TRUE)-1),""),V36)</f>
        <v/>
      </c>
      <c r="V36" s="4" t="str">
        <f>IF($D36="MiF ",IF($E36="2000m ",VLOOKUP($I36,MiF_Courses!F$3:M$52,8,FALSE),""),"FAUX")</f>
        <v/>
      </c>
      <c r="W36" s="4" t="b">
        <f>IF($E36="80mH ",IF($D36="MiF ",_xlfn.IFERROR(X36,VLOOKUP(ROUNDUP($J36,1),MiF_Courses!H$3:M$52,6,TRUE)-1),X36))</f>
        <v>0</v>
      </c>
      <c r="X36" s="4" t="b">
        <f>IF($E36="80mH ",IF($D36="MiF ",VLOOKUP($J36,MiF_Courses!H$3:M$52,6,FALSE),""))</f>
        <v>0</v>
      </c>
      <c r="Y36" s="3" t="b">
        <f>IF($E36="200mH ",IF($D36="MiF ",_xlfn.IFERROR(Z36,VLOOKUP($L36,MiF_Courses!I$3:M$52,5,TRUE)-1),Z36))</f>
        <v>0</v>
      </c>
      <c r="Z36" s="26" t="str">
        <f>IF($E36="200mH ",IF($D36="MiF ",VLOOKUP($L36,MiF_Courses!I$3:M$52,5,FALSE),""),"FAUX")</f>
        <v>FAUX</v>
      </c>
      <c r="AA36" s="4" t="b">
        <f>IF($E36="3000m Marche ",IF($D36="MiF ",_xlfn.IFERROR(AB36,VLOOKUP($M36,MiF_Courses!J$3:M$52,4,TRUE)-1),AB36))</f>
        <v>0</v>
      </c>
      <c r="AB36" s="4" t="b">
        <f>IF($E36="3000m Marche ",IF($D36="MiF ",VLOOKUP($M36,MiF_Courses!J$3:M$52,4,FALSE),""),FALSE)</f>
        <v>0</v>
      </c>
      <c r="AC36" s="4" t="b">
        <f>IF($E36="80m ",IF($D36="MiM ",_xlfn.IFERROR(AD36,VLOOKUP($F36,MiM_Courses!C$3:M$52,11,TRUE)-1),AD36))</f>
        <v>0</v>
      </c>
      <c r="AD36" s="4" t="b">
        <f>IF($E36="80m ",IF($D36="MiM ",VLOOKUP($F36,MiM_Courses!C$3:M$52,11,FALSE),""),FALSE)</f>
        <v>0</v>
      </c>
      <c r="AE36" s="4" t="b">
        <f>IF($E36="120m ",IF($D36="MiM ",_xlfn.IFERROR(AF36,VLOOKUP($G36,MiM_Courses!D$3:M$52,10,TRUE)-1),AF36))</f>
        <v>0</v>
      </c>
      <c r="AF36" s="4" t="b">
        <f>IF($E36="120m ",IF($D36="MiM ",VLOOKUP($G36,MiM_Courses!D$3:M$52,10,FALSE),""),FALSE)</f>
        <v>0</v>
      </c>
      <c r="AG36" s="4" t="b">
        <f>IF($E36="1000m ",IF($D36="MiM ",_xlfn.IFERROR(AH36,VLOOKUP($H36,MiM_Courses!E$3:M$52,9,TRUE)-1),AH36))</f>
        <v>0</v>
      </c>
      <c r="AH36" s="75" t="str">
        <f>IF($E36="1000m ",IF($D36="MiM ",VLOOKUP($H36,MiM_Courses!E$3:M$52,9,FALSE),""),"FAUX")</f>
        <v>FAUX</v>
      </c>
      <c r="AI36" s="75" t="b">
        <f>IF($E36="2000m ",IF($D36="MiM ",_xlfn.IFERROR(AJ36,VLOOKUP($I36,MiM_Courses!F$3:M$52,8,TRUE)-1),AJ36))</f>
        <v>0</v>
      </c>
      <c r="AJ36" s="75" t="str">
        <f>IF($E36="2000m ",IF($D36="MiM ",VLOOKUP($I36,MiM_Courses!F$3:M$52,8,FALSE),""),"FAUX")</f>
        <v>FAUX</v>
      </c>
      <c r="AK36" s="4" t="b">
        <f>IF($E36="100mH ",IF($D36="MiM ",_xlfn.IFERROR(AL36,VLOOKUP($K36,MiM_Courses!H$3:M$52,6,"VRAI")-1),AL36))</f>
        <v>0</v>
      </c>
      <c r="AL36" s="75" t="str">
        <f>IF($E36="100mH ",IF($D36="MiM ",VLOOKUP(K36,MiM_Courses!H$3:M$51,6,FALSE),""),"FAUX")</f>
        <v>FAUX</v>
      </c>
      <c r="AM36" s="75" t="str">
        <f>IF($E36="200mH ",IF($D36="MiM ",_xlfn.IFERROR(AN36,VLOOKUP($L36,MiM_Courses!I$3:M$52,5,TRUE)-1),AN36),"FAUX")</f>
        <v>FAUX</v>
      </c>
      <c r="AN36" s="75" t="str">
        <f>IF($E36="200mH ",IF($D36="MiM ",VLOOKUP($L36,MiM_Courses!I$3:M$52,5,FALSE),""),"FAUX")</f>
        <v>FAUX</v>
      </c>
      <c r="AO36" s="75" t="str">
        <f>IF($E36="3000m Marche ",IF($D36="MiM ",_xlfn.IFERROR(AP36,VLOOKUP($M36,MiM_Courses!J$3:M$52,4,TRUE)-1),AP36),"FAUX")</f>
        <v>FAUX</v>
      </c>
      <c r="AP36" s="75" t="str">
        <f>IF($E36="3000m Marche ",IF($D36="MiM ",VLOOKUP($M36,MiM_Courses!J$3:M$52,4,FALSE),""),"FAUX")</f>
        <v>FAUX</v>
      </c>
    </row>
    <row r="37" spans="1:42" ht="15">
      <c r="A37" s="60"/>
      <c r="B37" s="46"/>
      <c r="C37" s="70"/>
      <c r="D37" s="67" t="s">
        <v>189</v>
      </c>
      <c r="E37" s="37"/>
      <c r="F37" s="171"/>
      <c r="G37" s="172"/>
      <c r="H37" s="167"/>
      <c r="I37" s="48"/>
      <c r="J37" s="48"/>
      <c r="K37" s="48"/>
      <c r="L37" s="48"/>
      <c r="M37" s="107"/>
      <c r="N37" s="61">
        <f t="shared" si="0"/>
        <v>0</v>
      </c>
      <c r="O37" s="95" t="str">
        <f>IF($D37="MiF ",IF($E37="80m ",_xlfn.IFERROR(P37,VLOOKUP(F37,MiF_Courses!$C$3:$M$52,11,TRUE)-1),P37))</f>
        <v>faux</v>
      </c>
      <c r="P37" s="12" t="str">
        <f>IF($D37="MiF ",IF($E37="80m ",VLOOKUP($F37,MiF_Courses!$C$3:$M$52,11,FALSE),"faux"))</f>
        <v>faux</v>
      </c>
      <c r="Q37" s="95" t="str">
        <f>IF($D37="MiF ",IF($E37="120m ",_xlfn.IFERROR(R37,VLOOKUP($G37,MiF_Courses!D$3:M$52,10,TRUE)-1),""),R37)</f>
        <v/>
      </c>
      <c r="R37" s="32" t="str">
        <f>IF($D37="MiF ",IF($E37="120m ",VLOOKUP($G37,MiF_Courses!$D$3:$M$52,10,FALSE),""),"FAUX")</f>
        <v/>
      </c>
      <c r="S37" s="4" t="b">
        <f>IF($E37="1000m ",IF($D37="MiF ",_xlfn.IFERROR(T37,VLOOKUP(ROUNDUP($H37,1),MiF_Courses!E$3:M$52,9,TRUE)-1),T37))</f>
        <v>0</v>
      </c>
      <c r="T37" s="4" t="b">
        <f>IF($E37="1000m ",IF($D37="MiF ",VLOOKUP($H37,MiF_Courses!E$3:M$52,9,FALSE),""))</f>
        <v>0</v>
      </c>
      <c r="U37" s="4" t="str">
        <f>IF($D37="MiF ",IF($E37="2000m ",_xlfn.IFERROR(V37,VLOOKUP($I37,MiF_Courses!F$3:M$52,8,TRUE)-1),""),V37)</f>
        <v/>
      </c>
      <c r="V37" s="4" t="str">
        <f>IF($D37="MiF ",IF($E37="2000m ",VLOOKUP($I37,MiF_Courses!F$3:M$52,8,FALSE),""),"FAUX")</f>
        <v/>
      </c>
      <c r="W37" s="4" t="b">
        <f>IF($E37="80mH ",IF($D37="MiF ",_xlfn.IFERROR(X37,VLOOKUP(ROUNDUP($J37,1),MiF_Courses!H$3:M$52,6,TRUE)-1),X37))</f>
        <v>0</v>
      </c>
      <c r="X37" s="4" t="b">
        <f>IF($E37="80mH ",IF($D37="MiF ",VLOOKUP($J37,MiF_Courses!H$3:M$52,6,FALSE),""))</f>
        <v>0</v>
      </c>
      <c r="Y37" s="3" t="b">
        <f>IF($E37="200mH ",IF($D37="MiF ",_xlfn.IFERROR(Z37,VLOOKUP($L37,MiF_Courses!I$3:M$52,5,TRUE)-1),Z37))</f>
        <v>0</v>
      </c>
      <c r="Z37" s="26" t="str">
        <f>IF($E37="200mH ",IF($D37="MiF ",VLOOKUP($L37,MiF_Courses!I$3:M$52,5,FALSE),""),"FAUX")</f>
        <v>FAUX</v>
      </c>
      <c r="AA37" s="4" t="b">
        <f>IF($E37="3000m Marche ",IF($D37="MiF ",_xlfn.IFERROR(AB37,VLOOKUP($M37,MiF_Courses!J$3:M$52,4,TRUE)-1),AB37))</f>
        <v>0</v>
      </c>
      <c r="AB37" s="4" t="b">
        <f>IF($E37="3000m Marche ",IF($D37="MiF ",VLOOKUP($M37,MiF_Courses!J$3:M$52,4,FALSE),""),FALSE)</f>
        <v>0</v>
      </c>
      <c r="AC37" s="4" t="b">
        <f>IF($E37="80m ",IF($D37="MiM ",_xlfn.IFERROR(AD37,VLOOKUP($F37,MiM_Courses!C$3:M$52,11,TRUE)-1),AD37))</f>
        <v>0</v>
      </c>
      <c r="AD37" s="4" t="b">
        <f>IF($E37="80m ",IF($D37="MiM ",VLOOKUP($F37,MiM_Courses!C$3:M$52,11,FALSE),""),FALSE)</f>
        <v>0</v>
      </c>
      <c r="AE37" s="4" t="b">
        <f>IF($E37="120m ",IF($D37="MiM ",_xlfn.IFERROR(AF37,VLOOKUP($G37,MiM_Courses!D$3:M$52,10,TRUE)-1),AF37))</f>
        <v>0</v>
      </c>
      <c r="AF37" s="4" t="b">
        <f>IF($E37="120m ",IF($D37="MiM ",VLOOKUP($G37,MiM_Courses!D$3:M$52,10,FALSE),""),FALSE)</f>
        <v>0</v>
      </c>
      <c r="AG37" s="4" t="b">
        <f>IF($E37="1000m ",IF($D37="MiM ",_xlfn.IFERROR(AH37,VLOOKUP($H37,MiM_Courses!E$3:M$52,9,TRUE)-1),AH37))</f>
        <v>0</v>
      </c>
      <c r="AH37" s="75" t="str">
        <f>IF($E37="1000m ",IF($D37="MiM ",VLOOKUP($H37,MiM_Courses!E$3:M$52,9,FALSE),""),"FAUX")</f>
        <v>FAUX</v>
      </c>
      <c r="AI37" s="75" t="b">
        <f>IF($E37="2000m ",IF($D37="MiM ",_xlfn.IFERROR(AJ37,VLOOKUP($I37,MiM_Courses!F$3:M$52,8,TRUE)-1),AJ37))</f>
        <v>0</v>
      </c>
      <c r="AJ37" s="75" t="str">
        <f>IF($E37="2000m ",IF($D37="MiM ",VLOOKUP($I37,MiM_Courses!F$3:M$52,8,FALSE),""),"FAUX")</f>
        <v>FAUX</v>
      </c>
      <c r="AK37" s="4" t="b">
        <f>IF($E37="100mH ",IF($D37="MiM ",_xlfn.IFERROR(AL37,VLOOKUP($K37,MiM_Courses!H$3:M$52,6,"VRAI")-1),AL37))</f>
        <v>0</v>
      </c>
      <c r="AL37" s="75" t="str">
        <f>IF($E37="100mH ",IF($D37="MiM ",VLOOKUP(K37,MiM_Courses!H$3:M$51,6,FALSE),""),"FAUX")</f>
        <v>FAUX</v>
      </c>
      <c r="AM37" s="75" t="str">
        <f>IF($E37="200mH ",IF($D37="MiM ",_xlfn.IFERROR(AN37,VLOOKUP($L37,MiM_Courses!I$3:M$52,5,TRUE)-1),AN37),"FAUX")</f>
        <v>FAUX</v>
      </c>
      <c r="AN37" s="75" t="str">
        <f>IF($E37="200mH ",IF($D37="MiM ",VLOOKUP($L37,MiM_Courses!I$3:M$52,5,FALSE),""),"FAUX")</f>
        <v>FAUX</v>
      </c>
      <c r="AO37" s="75" t="str">
        <f>IF($E37="3000m Marche ",IF($D37="MiM ",_xlfn.IFERROR(AP37,VLOOKUP($M37,MiM_Courses!J$3:M$52,4,TRUE)-1),AP37),"FAUX")</f>
        <v>FAUX</v>
      </c>
      <c r="AP37" s="75" t="str">
        <f>IF($E37="3000m Marche ",IF($D37="MiM ",VLOOKUP($M37,MiM_Courses!J$3:M$52,4,FALSE),""),"FAUX")</f>
        <v>FAUX</v>
      </c>
    </row>
    <row r="38" spans="1:42" ht="15.75" thickBot="1">
      <c r="A38" s="62"/>
      <c r="B38" s="63"/>
      <c r="C38" s="71"/>
      <c r="D38" s="68" t="s">
        <v>189</v>
      </c>
      <c r="E38" s="39"/>
      <c r="F38" s="173"/>
      <c r="G38" s="174"/>
      <c r="H38" s="168"/>
      <c r="I38" s="156"/>
      <c r="J38" s="156"/>
      <c r="K38" s="156"/>
      <c r="L38" s="156"/>
      <c r="M38" s="110"/>
      <c r="N38" s="65">
        <f t="shared" si="0"/>
        <v>0</v>
      </c>
      <c r="O38" s="95" t="str">
        <f>IF($D38="MiF ",IF($E38="80m ",_xlfn.IFERROR(P38,VLOOKUP(F38,MiF_Courses!$C$3:$M$52,11,TRUE)-1),P38))</f>
        <v>faux</v>
      </c>
      <c r="P38" s="12" t="str">
        <f>IF($D38="MiF ",IF($E38="80m ",VLOOKUP($F38,MiF_Courses!$C$3:$M$52,11,FALSE),"faux"))</f>
        <v>faux</v>
      </c>
      <c r="Q38" s="95" t="str">
        <f>IF($D38="MiF ",IF($E38="120m ",_xlfn.IFERROR(R38,VLOOKUP($G38,MiF_Courses!D$3:M$52,10,TRUE)-1),""),R38)</f>
        <v/>
      </c>
      <c r="R38" s="32" t="str">
        <f>IF($D38="MiF ",IF($E38="120m ",VLOOKUP($G38,MiF_Courses!$D$3:$M$52,10,FALSE),""),"FAUX")</f>
        <v/>
      </c>
      <c r="S38" s="4" t="b">
        <f>IF($E38="1000m ",IF($D38="MiF ",_xlfn.IFERROR(T38,VLOOKUP(ROUNDUP($H38,1),MiF_Courses!E$3:M$52,9,TRUE)-1),T38))</f>
        <v>0</v>
      </c>
      <c r="T38" s="4" t="b">
        <f>IF($E38="1000m ",IF($D38="MiF ",VLOOKUP($H38,MiF_Courses!E$3:M$52,9,FALSE),""))</f>
        <v>0</v>
      </c>
      <c r="U38" s="4" t="str">
        <f>IF($D38="MiF ",IF($E38="2000m ",_xlfn.IFERROR(V38,VLOOKUP($I38,MiF_Courses!F$3:M$52,8,TRUE)-1),""),V38)</f>
        <v/>
      </c>
      <c r="V38" s="4" t="str">
        <f>IF($D38="MiF ",IF($E38="2000m ",VLOOKUP($I38,MiF_Courses!F$3:M$52,8,FALSE),""),"FAUX")</f>
        <v/>
      </c>
      <c r="W38" s="4" t="b">
        <f>IF($E38="80mH ",IF($D38="MiF ",_xlfn.IFERROR(X38,VLOOKUP(ROUNDUP($J38,1),MiF_Courses!H$3:M$52,6,TRUE)-1),X38))</f>
        <v>0</v>
      </c>
      <c r="X38" s="4" t="b">
        <f>IF($E38="80mH ",IF($D38="MiF ",VLOOKUP($J38,MiF_Courses!H$3:M$52,6,FALSE),""))</f>
        <v>0</v>
      </c>
      <c r="Y38" s="3" t="b">
        <f>IF($E38="200mH ",IF($D38="MiF ",_xlfn.IFERROR(Z38,VLOOKUP($L38,MiF_Courses!I$3:M$52,5,TRUE)-1),Z38))</f>
        <v>0</v>
      </c>
      <c r="Z38" s="26" t="str">
        <f>IF($E38="200mH ",IF($D38="MiF ",VLOOKUP($L38,MiF_Courses!I$3:M$52,5,FALSE),""),"FAUX")</f>
        <v>FAUX</v>
      </c>
      <c r="AA38" s="4" t="b">
        <f>IF($E38="3000m Marche ",IF($D38="MiF ",_xlfn.IFERROR(AB38,VLOOKUP($M38,MiF_Courses!J$3:M$52,4,TRUE)-1),AB38))</f>
        <v>0</v>
      </c>
      <c r="AB38" s="4" t="b">
        <f>IF($E38="3000m Marche ",IF($D38="MiF ",VLOOKUP($M38,MiF_Courses!J$3:M$52,4,FALSE),""),FALSE)</f>
        <v>0</v>
      </c>
      <c r="AC38" s="4" t="b">
        <f>IF($E38="80m ",IF($D38="MiM ",_xlfn.IFERROR(AD38,VLOOKUP($F38,MiM_Courses!C$3:M$52,11,TRUE)-1),AD38))</f>
        <v>0</v>
      </c>
      <c r="AD38" s="4" t="b">
        <f>IF($E38="80m ",IF($D38="MiM ",VLOOKUP($F38,MiM_Courses!C$3:M$52,11,FALSE),""),FALSE)</f>
        <v>0</v>
      </c>
      <c r="AE38" s="4" t="b">
        <f>IF($E38="120m ",IF($D38="MiM ",_xlfn.IFERROR(AF38,VLOOKUP($G38,MiM_Courses!D$3:M$52,10,TRUE)-1),AF38))</f>
        <v>0</v>
      </c>
      <c r="AF38" s="4" t="b">
        <f>IF($E38="120m ",IF($D38="MiM ",VLOOKUP($G38,MiM_Courses!D$3:M$52,10,FALSE),""),FALSE)</f>
        <v>0</v>
      </c>
      <c r="AG38" s="4" t="b">
        <f>IF($E38="1000m ",IF($D38="MiM ",_xlfn.IFERROR(AH38,VLOOKUP($H38,MiM_Courses!E$3:M$52,9,TRUE)-1),AH38))</f>
        <v>0</v>
      </c>
      <c r="AH38" s="75" t="str">
        <f>IF($E38="1000m ",IF($D38="MiM ",VLOOKUP($H38,MiM_Courses!E$3:M$52,9,FALSE),""),"FAUX")</f>
        <v>FAUX</v>
      </c>
      <c r="AI38" s="75" t="b">
        <f>IF($E38="2000m ",IF($D38="MiM ",_xlfn.IFERROR(AJ38,VLOOKUP($I38,MiM_Courses!F$3:M$52,8,TRUE)-1),AJ38))</f>
        <v>0</v>
      </c>
      <c r="AJ38" s="75" t="str">
        <f>IF($E38="2000m ",IF($D38="MiM ",VLOOKUP($I38,MiM_Courses!F$3:M$52,8,FALSE),""),"FAUX")</f>
        <v>FAUX</v>
      </c>
      <c r="AK38" s="4" t="b">
        <f>IF($E38="100mH ",IF($D38="MiM ",_xlfn.IFERROR(AL38,VLOOKUP($K38,MiM_Courses!H$3:M$52,6,"VRAI")-1),AL38))</f>
        <v>0</v>
      </c>
      <c r="AL38" s="75" t="str">
        <f>IF($E38="100mH ",IF($D38="MiM ",VLOOKUP(K38,MiM_Courses!H$3:M$51,6,FALSE),""),"FAUX")</f>
        <v>FAUX</v>
      </c>
      <c r="AM38" s="75" t="str">
        <f>IF($E38="200mH ",IF($D38="MiM ",_xlfn.IFERROR(AN38,VLOOKUP($L38,MiM_Courses!I$3:M$52,5,TRUE)-1),AN38),"FAUX")</f>
        <v>FAUX</v>
      </c>
      <c r="AN38" s="75" t="str">
        <f>IF($E38="200mH ",IF($D38="MiM ",VLOOKUP($L38,MiM_Courses!I$3:M$52,5,FALSE),""),"FAUX")</f>
        <v>FAUX</v>
      </c>
      <c r="AO38" s="75" t="str">
        <f>IF($E38="3000m Marche ",IF($D38="MiM ",_xlfn.IFERROR(AP38,VLOOKUP($M38,MiM_Courses!J$3:M$52,4,TRUE)-1),AP38),"FAUX")</f>
        <v>FAUX</v>
      </c>
      <c r="AP38" s="75" t="str">
        <f>IF($E38="3000m Marche ",IF($D38="MiM ",VLOOKUP($M38,MiM_Courses!J$3:M$52,4,FALSE),""),"FAUX")</f>
        <v>FAUX</v>
      </c>
    </row>
  </sheetData>
  <sheetProtection password="D2F3" sheet="1" objects="1" scenarios="1" selectLockedCells="1"/>
  <mergeCells count="9">
    <mergeCell ref="A2:N3"/>
    <mergeCell ref="I4:N4"/>
    <mergeCell ref="B5:B6"/>
    <mergeCell ref="C5:I6"/>
    <mergeCell ref="J5:K5"/>
    <mergeCell ref="L5:M5"/>
    <mergeCell ref="J6:K6"/>
    <mergeCell ref="L6:M6"/>
    <mergeCell ref="C4:G4"/>
  </mergeCells>
  <conditionalFormatting sqref="D8:D38">
    <cfRule type="containsText" priority="2" dxfId="65" operator="containsText" text="MiF ">
      <formula>NOT(ISERROR(SEARCH("MiF ",D8)))</formula>
    </cfRule>
    <cfRule type="expression" priority="3" dxfId="64">
      <formula>$AG$3</formula>
    </cfRule>
  </conditionalFormatting>
  <conditionalFormatting sqref="D8:D38">
    <cfRule type="containsText" priority="1" dxfId="63" operator="containsText" text="MiM">
      <formula>NOT(ISERROR(SEARCH("MiM",D8)))</formula>
    </cfRule>
  </conditionalFormatting>
  <dataValidations count="2">
    <dataValidation type="list" allowBlank="1" showInputMessage="1" showErrorMessage="1" sqref="B4 E8:E38">
      <formula1>$AR$7:$AR$16</formula1>
    </dataValidation>
    <dataValidation type="list" allowBlank="1" showInputMessage="1" showErrorMessage="1" sqref="D8:D38">
      <formula1>$AG$3:$AG$4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300" verticalDpi="300" orientation="landscape" paperSize="256" scale="65" r:id="rId3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J1">
      <selection activeCell="A1" sqref="A1:I1048576"/>
    </sheetView>
  </sheetViews>
  <sheetFormatPr defaultColWidth="11.421875" defaultRowHeight="15"/>
  <cols>
    <col min="1" max="5" width="11.421875" style="0" hidden="1" customWidth="1"/>
    <col min="6" max="6" width="13.28125" style="0" hidden="1" customWidth="1"/>
    <col min="7" max="9" width="11.421875" style="0" hidden="1" customWidth="1"/>
  </cols>
  <sheetData>
    <row r="1" spans="1:3" ht="15">
      <c r="A1" t="s">
        <v>8</v>
      </c>
      <c r="B1" t="s">
        <v>9</v>
      </c>
      <c r="C1" t="s">
        <v>10</v>
      </c>
    </row>
    <row r="2" spans="1:9" ht="15">
      <c r="A2" t="s">
        <v>11</v>
      </c>
      <c r="B2" t="s">
        <v>12</v>
      </c>
      <c r="C2" t="s">
        <v>24</v>
      </c>
      <c r="D2" t="s">
        <v>13</v>
      </c>
      <c r="E2" t="s">
        <v>14</v>
      </c>
      <c r="F2" t="s">
        <v>19</v>
      </c>
      <c r="G2" t="s">
        <v>20</v>
      </c>
      <c r="H2" t="s">
        <v>21</v>
      </c>
      <c r="I2" t="s">
        <v>11</v>
      </c>
    </row>
    <row r="3" spans="1:9" ht="15">
      <c r="A3">
        <v>50</v>
      </c>
      <c r="B3">
        <v>6.4</v>
      </c>
      <c r="C3">
        <v>2.58</v>
      </c>
      <c r="D3">
        <v>7.29</v>
      </c>
      <c r="E3">
        <v>27.89</v>
      </c>
      <c r="F3">
        <v>9.479</v>
      </c>
      <c r="G3">
        <v>30.74</v>
      </c>
      <c r="H3">
        <v>30.5</v>
      </c>
      <c r="I3">
        <v>50</v>
      </c>
    </row>
    <row r="4" spans="1:9" ht="15">
      <c r="A4">
        <v>49</v>
      </c>
      <c r="B4">
        <v>6.51</v>
      </c>
      <c r="C4">
        <v>3.002</v>
      </c>
      <c r="D4">
        <v>7.42</v>
      </c>
      <c r="E4">
        <v>28.03</v>
      </c>
      <c r="F4">
        <v>9.5832</v>
      </c>
      <c r="G4">
        <v>31.03</v>
      </c>
      <c r="H4">
        <v>30.63</v>
      </c>
      <c r="I4">
        <v>49</v>
      </c>
    </row>
    <row r="5" spans="1:9" ht="15">
      <c r="A5">
        <v>48</v>
      </c>
      <c r="B5">
        <v>6.61</v>
      </c>
      <c r="C5">
        <v>3.024</v>
      </c>
      <c r="D5">
        <v>7.55</v>
      </c>
      <c r="E5">
        <v>28.17</v>
      </c>
      <c r="F5">
        <v>10.0874</v>
      </c>
      <c r="G5">
        <v>31.32</v>
      </c>
      <c r="H5">
        <v>30.77</v>
      </c>
      <c r="I5">
        <v>48</v>
      </c>
    </row>
    <row r="6" spans="1:9" ht="15">
      <c r="A6">
        <v>47</v>
      </c>
      <c r="B6">
        <v>6.72</v>
      </c>
      <c r="C6">
        <v>3.046</v>
      </c>
      <c r="D6">
        <v>7.68</v>
      </c>
      <c r="E6">
        <v>28.32</v>
      </c>
      <c r="F6">
        <v>10.1916</v>
      </c>
      <c r="G6">
        <v>31.62</v>
      </c>
      <c r="H6">
        <v>30.9</v>
      </c>
      <c r="I6">
        <v>47</v>
      </c>
    </row>
    <row r="7" spans="1:9" ht="15">
      <c r="A7">
        <v>46</v>
      </c>
      <c r="B7">
        <v>6.82</v>
      </c>
      <c r="C7">
        <v>3.068</v>
      </c>
      <c r="D7">
        <v>7.81</v>
      </c>
      <c r="E7">
        <v>28.46</v>
      </c>
      <c r="F7">
        <v>10.2958</v>
      </c>
      <c r="G7">
        <v>31.91</v>
      </c>
      <c r="H7">
        <v>31.04</v>
      </c>
      <c r="I7">
        <v>46</v>
      </c>
    </row>
    <row r="8" spans="1:9" ht="15">
      <c r="A8">
        <v>45</v>
      </c>
      <c r="B8">
        <v>6.93</v>
      </c>
      <c r="C8">
        <v>3.09</v>
      </c>
      <c r="D8">
        <v>7.94</v>
      </c>
      <c r="E8">
        <v>28.6</v>
      </c>
      <c r="F8">
        <v>10.4</v>
      </c>
      <c r="G8">
        <v>32.2</v>
      </c>
      <c r="H8">
        <v>31.17</v>
      </c>
      <c r="I8">
        <v>45</v>
      </c>
    </row>
    <row r="9" spans="1:9" ht="15">
      <c r="A9">
        <v>44</v>
      </c>
      <c r="B9">
        <v>6.99</v>
      </c>
      <c r="C9">
        <v>3.1104</v>
      </c>
      <c r="D9">
        <v>8.04</v>
      </c>
      <c r="E9">
        <v>28.86</v>
      </c>
      <c r="F9">
        <v>10.4812</v>
      </c>
      <c r="G9">
        <v>32.34</v>
      </c>
      <c r="H9">
        <v>31.28</v>
      </c>
      <c r="I9">
        <v>44</v>
      </c>
    </row>
    <row r="10" spans="1:9" ht="15">
      <c r="A10">
        <v>43</v>
      </c>
      <c r="B10">
        <v>7.04</v>
      </c>
      <c r="C10">
        <v>3.1308</v>
      </c>
      <c r="D10">
        <v>8.14</v>
      </c>
      <c r="E10">
        <v>29.11</v>
      </c>
      <c r="F10">
        <v>10.5624</v>
      </c>
      <c r="G10">
        <v>32.47</v>
      </c>
      <c r="H10">
        <v>31.39</v>
      </c>
      <c r="I10">
        <v>43</v>
      </c>
    </row>
    <row r="11" spans="1:9" ht="15">
      <c r="A11">
        <v>42</v>
      </c>
      <c r="B11">
        <v>7.1</v>
      </c>
      <c r="C11">
        <v>3.1512</v>
      </c>
      <c r="D11">
        <v>8.24</v>
      </c>
      <c r="E11">
        <v>29.37</v>
      </c>
      <c r="F11">
        <v>11.0436</v>
      </c>
      <c r="G11">
        <v>32.61</v>
      </c>
      <c r="H11">
        <v>31.5</v>
      </c>
      <c r="I11">
        <v>42</v>
      </c>
    </row>
    <row r="12" spans="1:9" ht="15">
      <c r="A12">
        <v>41</v>
      </c>
      <c r="B12">
        <v>7.16</v>
      </c>
      <c r="C12">
        <v>3.1716</v>
      </c>
      <c r="D12">
        <v>8.33</v>
      </c>
      <c r="E12">
        <v>29.62</v>
      </c>
      <c r="F12">
        <v>11.1248</v>
      </c>
      <c r="G12">
        <v>32.74</v>
      </c>
      <c r="H12">
        <v>31.61</v>
      </c>
      <c r="I12">
        <v>41</v>
      </c>
    </row>
    <row r="13" spans="1:9" ht="15">
      <c r="A13">
        <v>40</v>
      </c>
      <c r="B13">
        <v>7.21</v>
      </c>
      <c r="C13">
        <v>3.192</v>
      </c>
      <c r="D13">
        <v>8.43</v>
      </c>
      <c r="E13">
        <v>29.88</v>
      </c>
      <c r="F13">
        <v>11.206</v>
      </c>
      <c r="G13">
        <v>32.88</v>
      </c>
      <c r="H13">
        <v>31.73</v>
      </c>
      <c r="I13">
        <v>40</v>
      </c>
    </row>
    <row r="14" spans="1:9" ht="15">
      <c r="A14">
        <v>39</v>
      </c>
      <c r="B14">
        <v>7.27</v>
      </c>
      <c r="C14">
        <v>3.2124</v>
      </c>
      <c r="D14">
        <v>8.53</v>
      </c>
      <c r="E14">
        <v>30.14</v>
      </c>
      <c r="F14">
        <v>11.2872</v>
      </c>
      <c r="G14">
        <v>33.02</v>
      </c>
      <c r="H14">
        <v>31.84</v>
      </c>
      <c r="I14">
        <v>39</v>
      </c>
    </row>
    <row r="15" spans="1:9" ht="15">
      <c r="A15">
        <v>38</v>
      </c>
      <c r="B15">
        <v>7.32</v>
      </c>
      <c r="C15">
        <v>3.2328</v>
      </c>
      <c r="D15">
        <v>8.63</v>
      </c>
      <c r="E15">
        <v>30.39</v>
      </c>
      <c r="F15">
        <v>11.3684</v>
      </c>
      <c r="G15">
        <v>33.15</v>
      </c>
      <c r="H15">
        <v>31.95</v>
      </c>
      <c r="I15">
        <v>38</v>
      </c>
    </row>
    <row r="16" spans="1:9" ht="15">
      <c r="A16">
        <v>37</v>
      </c>
      <c r="B16">
        <v>7.38</v>
      </c>
      <c r="C16">
        <v>3.2532</v>
      </c>
      <c r="D16">
        <v>8.73</v>
      </c>
      <c r="E16">
        <v>30.65</v>
      </c>
      <c r="F16">
        <v>11.4496</v>
      </c>
      <c r="G16">
        <v>33.29</v>
      </c>
      <c r="H16">
        <v>32.06</v>
      </c>
      <c r="I16">
        <v>37</v>
      </c>
    </row>
    <row r="17" spans="1:9" ht="15">
      <c r="A17">
        <v>36</v>
      </c>
      <c r="B17">
        <v>7.44</v>
      </c>
      <c r="C17">
        <v>3.2736</v>
      </c>
      <c r="D17">
        <v>8.83</v>
      </c>
      <c r="E17">
        <v>30.9</v>
      </c>
      <c r="F17">
        <v>11.5308</v>
      </c>
      <c r="G17">
        <v>33.42</v>
      </c>
      <c r="H17">
        <v>32.17</v>
      </c>
      <c r="I17">
        <v>36</v>
      </c>
    </row>
    <row r="18" spans="1:9" ht="15">
      <c r="A18">
        <v>35</v>
      </c>
      <c r="B18">
        <v>7.49</v>
      </c>
      <c r="C18">
        <v>3.294</v>
      </c>
      <c r="D18">
        <v>8.92</v>
      </c>
      <c r="E18">
        <v>31.16</v>
      </c>
      <c r="F18">
        <v>12.012</v>
      </c>
      <c r="G18">
        <v>33.56</v>
      </c>
      <c r="H18">
        <v>32.28</v>
      </c>
      <c r="I18">
        <v>35</v>
      </c>
    </row>
    <row r="19" spans="1:9" ht="15">
      <c r="A19">
        <v>34</v>
      </c>
      <c r="B19">
        <v>7.55</v>
      </c>
      <c r="C19">
        <v>3.3144</v>
      </c>
      <c r="D19">
        <v>9.02</v>
      </c>
      <c r="E19">
        <v>31.42</v>
      </c>
      <c r="F19">
        <v>12.0932</v>
      </c>
      <c r="G19">
        <v>33.7</v>
      </c>
      <c r="H19">
        <v>32.39</v>
      </c>
      <c r="I19">
        <v>34</v>
      </c>
    </row>
    <row r="20" spans="1:9" ht="15">
      <c r="A20">
        <v>33</v>
      </c>
      <c r="B20">
        <v>7.61</v>
      </c>
      <c r="C20">
        <v>3.3348</v>
      </c>
      <c r="D20">
        <v>9.12</v>
      </c>
      <c r="E20">
        <v>31.67</v>
      </c>
      <c r="F20">
        <v>12.1744</v>
      </c>
      <c r="G20">
        <v>33.83</v>
      </c>
      <c r="H20">
        <v>32.5</v>
      </c>
      <c r="I20">
        <v>33</v>
      </c>
    </row>
    <row r="21" spans="1:9" ht="15">
      <c r="A21">
        <v>32</v>
      </c>
      <c r="B21">
        <v>7.66</v>
      </c>
      <c r="C21">
        <v>3.3552</v>
      </c>
      <c r="D21">
        <v>9.22</v>
      </c>
      <c r="E21">
        <v>31.93</v>
      </c>
      <c r="F21">
        <v>12.2556</v>
      </c>
      <c r="G21">
        <v>33.97</v>
      </c>
      <c r="H21">
        <v>32.62</v>
      </c>
      <c r="I21">
        <v>32</v>
      </c>
    </row>
    <row r="22" spans="1:9" ht="15">
      <c r="A22">
        <v>31</v>
      </c>
      <c r="B22">
        <v>7.72</v>
      </c>
      <c r="C22">
        <v>3.3756</v>
      </c>
      <c r="D22">
        <v>9.32</v>
      </c>
      <c r="E22">
        <v>32.18</v>
      </c>
      <c r="F22">
        <v>12.3368</v>
      </c>
      <c r="G22">
        <v>34.1</v>
      </c>
      <c r="H22">
        <v>32.73</v>
      </c>
      <c r="I22">
        <v>31</v>
      </c>
    </row>
    <row r="23" spans="1:9" ht="15">
      <c r="A23">
        <v>30</v>
      </c>
      <c r="B23">
        <v>7.78</v>
      </c>
      <c r="C23">
        <v>3.396</v>
      </c>
      <c r="D23">
        <v>9.42</v>
      </c>
      <c r="E23">
        <v>32.44</v>
      </c>
      <c r="F23">
        <v>12.418</v>
      </c>
      <c r="G23">
        <v>34.24</v>
      </c>
      <c r="H23">
        <v>32.84</v>
      </c>
      <c r="I23">
        <v>30</v>
      </c>
    </row>
    <row r="24" spans="1:9" ht="15">
      <c r="A24">
        <v>29</v>
      </c>
      <c r="B24">
        <v>7.83</v>
      </c>
      <c r="C24">
        <v>3.4164</v>
      </c>
      <c r="D24">
        <v>9.51</v>
      </c>
      <c r="E24">
        <v>32.7</v>
      </c>
      <c r="F24">
        <v>12.4992</v>
      </c>
      <c r="G24">
        <v>34.38</v>
      </c>
      <c r="H24">
        <v>32.95</v>
      </c>
      <c r="I24">
        <v>29</v>
      </c>
    </row>
    <row r="25" spans="1:9" ht="15">
      <c r="A25">
        <v>28</v>
      </c>
      <c r="B25">
        <v>7.89</v>
      </c>
      <c r="C25">
        <v>3.4368</v>
      </c>
      <c r="D25">
        <v>9.61</v>
      </c>
      <c r="E25">
        <v>32.95</v>
      </c>
      <c r="F25">
        <v>12.5804</v>
      </c>
      <c r="G25">
        <v>34.51</v>
      </c>
      <c r="H25">
        <v>33.06</v>
      </c>
      <c r="I25">
        <v>28</v>
      </c>
    </row>
    <row r="26" spans="1:9" ht="15">
      <c r="A26">
        <v>27</v>
      </c>
      <c r="B26">
        <v>7.95</v>
      </c>
      <c r="C26">
        <v>3.4572</v>
      </c>
      <c r="D26">
        <v>9.71</v>
      </c>
      <c r="E26">
        <v>33.21</v>
      </c>
      <c r="F26">
        <v>13.0616</v>
      </c>
      <c r="G26">
        <v>34.65</v>
      </c>
      <c r="H26">
        <v>33.17</v>
      </c>
      <c r="I26">
        <v>27</v>
      </c>
    </row>
    <row r="27" spans="1:9" ht="15">
      <c r="A27">
        <v>26</v>
      </c>
      <c r="B27">
        <v>8</v>
      </c>
      <c r="C27">
        <v>3.4776</v>
      </c>
      <c r="D27">
        <v>9.81</v>
      </c>
      <c r="E27">
        <v>33.46</v>
      </c>
      <c r="F27">
        <v>13.1428</v>
      </c>
      <c r="G27">
        <v>34.78</v>
      </c>
      <c r="H27">
        <v>33.28</v>
      </c>
      <c r="I27">
        <v>26</v>
      </c>
    </row>
    <row r="28" spans="1:9" ht="15">
      <c r="A28">
        <v>25</v>
      </c>
      <c r="B28">
        <v>8.06</v>
      </c>
      <c r="C28">
        <v>3.498</v>
      </c>
      <c r="D28">
        <v>9.91</v>
      </c>
      <c r="E28">
        <v>33.72</v>
      </c>
      <c r="F28">
        <v>13.224</v>
      </c>
      <c r="G28">
        <v>34.92</v>
      </c>
      <c r="H28">
        <v>33.39</v>
      </c>
      <c r="I28">
        <v>25</v>
      </c>
    </row>
    <row r="29" spans="1:9" ht="15">
      <c r="A29">
        <v>24</v>
      </c>
      <c r="B29">
        <v>8.11</v>
      </c>
      <c r="C29">
        <v>3.5184</v>
      </c>
      <c r="D29">
        <v>10.01</v>
      </c>
      <c r="E29">
        <v>33.98</v>
      </c>
      <c r="F29">
        <v>13.3052</v>
      </c>
      <c r="G29">
        <v>35.06</v>
      </c>
      <c r="H29">
        <v>33.51</v>
      </c>
      <c r="I29">
        <v>24</v>
      </c>
    </row>
    <row r="30" spans="1:9" ht="15">
      <c r="A30">
        <v>23</v>
      </c>
      <c r="B30">
        <v>8.17</v>
      </c>
      <c r="C30">
        <v>3.5388</v>
      </c>
      <c r="D30">
        <v>10.1</v>
      </c>
      <c r="E30">
        <v>34.23</v>
      </c>
      <c r="F30">
        <v>13.3864</v>
      </c>
      <c r="G30">
        <v>35.19</v>
      </c>
      <c r="H30">
        <v>33.62</v>
      </c>
      <c r="I30">
        <v>23</v>
      </c>
    </row>
    <row r="31" spans="1:9" ht="15">
      <c r="A31">
        <v>22</v>
      </c>
      <c r="B31">
        <v>8.23</v>
      </c>
      <c r="C31">
        <v>3.5592</v>
      </c>
      <c r="D31">
        <v>10.2</v>
      </c>
      <c r="E31">
        <v>34.49</v>
      </c>
      <c r="F31">
        <v>13.4676</v>
      </c>
      <c r="G31">
        <v>35.33</v>
      </c>
      <c r="H31">
        <v>33.73</v>
      </c>
      <c r="I31">
        <v>22</v>
      </c>
    </row>
    <row r="32" spans="1:9" ht="15">
      <c r="A32">
        <v>21</v>
      </c>
      <c r="B32">
        <v>8.28</v>
      </c>
      <c r="C32">
        <v>3.5796</v>
      </c>
      <c r="D32">
        <v>10.3</v>
      </c>
      <c r="E32">
        <v>34.74</v>
      </c>
      <c r="F32">
        <v>13.5488</v>
      </c>
      <c r="G32">
        <v>35.46</v>
      </c>
      <c r="H32">
        <v>33.84</v>
      </c>
      <c r="I32">
        <v>21</v>
      </c>
    </row>
    <row r="33" spans="1:9" ht="15">
      <c r="A33">
        <v>20</v>
      </c>
      <c r="B33">
        <v>8.34</v>
      </c>
      <c r="C33">
        <v>4</v>
      </c>
      <c r="D33">
        <v>10.4</v>
      </c>
      <c r="E33">
        <v>35</v>
      </c>
      <c r="F33">
        <v>14.03</v>
      </c>
      <c r="G33">
        <v>35.6</v>
      </c>
      <c r="H33">
        <v>33.95</v>
      </c>
      <c r="I33">
        <v>20</v>
      </c>
    </row>
    <row r="34" spans="1:9" ht="15">
      <c r="A34">
        <v>19</v>
      </c>
      <c r="B34">
        <v>8.46</v>
      </c>
      <c r="C34">
        <v>4.0568</v>
      </c>
      <c r="D34">
        <v>10.73</v>
      </c>
      <c r="E34">
        <v>35.51</v>
      </c>
      <c r="F34">
        <v>14.1389</v>
      </c>
      <c r="G34">
        <v>36.36</v>
      </c>
      <c r="H34">
        <v>34.79</v>
      </c>
      <c r="I34">
        <v>19</v>
      </c>
    </row>
    <row r="35" spans="1:9" ht="15">
      <c r="A35">
        <v>18</v>
      </c>
      <c r="B35">
        <v>8.58</v>
      </c>
      <c r="C35">
        <v>4.1137</v>
      </c>
      <c r="D35">
        <v>11.05</v>
      </c>
      <c r="E35">
        <v>36.03</v>
      </c>
      <c r="F35">
        <v>14.2479</v>
      </c>
      <c r="G35">
        <v>37.12</v>
      </c>
      <c r="H35">
        <v>35.64</v>
      </c>
      <c r="I35">
        <v>18</v>
      </c>
    </row>
    <row r="36" spans="1:9" ht="15">
      <c r="A36">
        <v>17</v>
      </c>
      <c r="B36">
        <v>8.7</v>
      </c>
      <c r="C36">
        <v>4.1705</v>
      </c>
      <c r="D36">
        <v>11.38</v>
      </c>
      <c r="E36">
        <v>36.54</v>
      </c>
      <c r="F36">
        <v>14.3568</v>
      </c>
      <c r="G36">
        <v>37.87</v>
      </c>
      <c r="H36">
        <v>36.48</v>
      </c>
      <c r="I36">
        <v>17</v>
      </c>
    </row>
    <row r="37" spans="1:9" ht="15">
      <c r="A37">
        <v>16</v>
      </c>
      <c r="B37">
        <v>8.82</v>
      </c>
      <c r="C37">
        <v>4.2274</v>
      </c>
      <c r="D37">
        <v>11.71</v>
      </c>
      <c r="E37">
        <v>37.05</v>
      </c>
      <c r="F37">
        <v>14.4658</v>
      </c>
      <c r="G37">
        <v>38.63</v>
      </c>
      <c r="H37">
        <v>37.33</v>
      </c>
      <c r="I37">
        <v>16</v>
      </c>
    </row>
    <row r="38" spans="1:9" ht="15">
      <c r="A38">
        <v>15</v>
      </c>
      <c r="B38">
        <v>8.95</v>
      </c>
      <c r="C38">
        <v>4.2842</v>
      </c>
      <c r="D38">
        <v>12.03</v>
      </c>
      <c r="E38">
        <v>37.57</v>
      </c>
      <c r="F38">
        <v>14.5747</v>
      </c>
      <c r="G38">
        <v>39.39</v>
      </c>
      <c r="H38">
        <v>38.17</v>
      </c>
      <c r="I38">
        <v>15</v>
      </c>
    </row>
    <row r="39" spans="1:9" ht="15">
      <c r="A39">
        <v>14</v>
      </c>
      <c r="B39">
        <v>9.07</v>
      </c>
      <c r="C39">
        <v>4.3411</v>
      </c>
      <c r="D39">
        <v>12.36</v>
      </c>
      <c r="E39">
        <v>38.08</v>
      </c>
      <c r="F39">
        <v>15.0837</v>
      </c>
      <c r="G39">
        <v>40.15</v>
      </c>
      <c r="H39">
        <v>39.02</v>
      </c>
      <c r="I39">
        <v>14</v>
      </c>
    </row>
    <row r="40" spans="1:9" ht="15">
      <c r="A40">
        <v>13</v>
      </c>
      <c r="B40">
        <v>9.19</v>
      </c>
      <c r="C40">
        <v>4.3979</v>
      </c>
      <c r="D40">
        <v>12.68</v>
      </c>
      <c r="E40">
        <v>38.6</v>
      </c>
      <c r="F40">
        <v>15.1926</v>
      </c>
      <c r="G40">
        <v>40.91</v>
      </c>
      <c r="H40">
        <v>39.86</v>
      </c>
      <c r="I40">
        <v>13</v>
      </c>
    </row>
    <row r="41" spans="1:9" ht="15">
      <c r="A41">
        <v>12</v>
      </c>
      <c r="B41">
        <v>9.31</v>
      </c>
      <c r="C41">
        <v>4.4547</v>
      </c>
      <c r="D41">
        <v>13.01</v>
      </c>
      <c r="E41">
        <v>39.11</v>
      </c>
      <c r="F41">
        <v>15.3016</v>
      </c>
      <c r="G41">
        <v>41.66</v>
      </c>
      <c r="H41">
        <v>40.71</v>
      </c>
      <c r="I41">
        <v>12</v>
      </c>
    </row>
    <row r="42" spans="1:9" ht="15">
      <c r="A42">
        <v>11</v>
      </c>
      <c r="B42">
        <v>9.43</v>
      </c>
      <c r="C42">
        <v>4.5116</v>
      </c>
      <c r="D42">
        <v>13.34</v>
      </c>
      <c r="E42">
        <v>39.62</v>
      </c>
      <c r="F42">
        <v>15.4105</v>
      </c>
      <c r="G42">
        <v>42.42</v>
      </c>
      <c r="H42">
        <v>41.55</v>
      </c>
      <c r="I42">
        <v>11</v>
      </c>
    </row>
    <row r="43" spans="1:9" ht="15">
      <c r="A43">
        <v>10</v>
      </c>
      <c r="B43">
        <v>9.55</v>
      </c>
      <c r="C43">
        <v>4.5684</v>
      </c>
      <c r="D43">
        <v>13.66</v>
      </c>
      <c r="E43">
        <v>40.14</v>
      </c>
      <c r="F43">
        <v>15.5195</v>
      </c>
      <c r="G43">
        <v>43.18</v>
      </c>
      <c r="H43">
        <v>42.4</v>
      </c>
      <c r="I43">
        <v>10</v>
      </c>
    </row>
    <row r="44" spans="1:9" ht="15">
      <c r="A44">
        <v>9</v>
      </c>
      <c r="B44">
        <v>9.67</v>
      </c>
      <c r="C44">
        <v>5.0253</v>
      </c>
      <c r="D44">
        <v>13.99</v>
      </c>
      <c r="E44">
        <v>40.65</v>
      </c>
      <c r="F44">
        <v>16.0284</v>
      </c>
      <c r="G44">
        <v>43.94</v>
      </c>
      <c r="H44">
        <v>43.24</v>
      </c>
      <c r="I44">
        <v>9</v>
      </c>
    </row>
    <row r="45" spans="1:9" ht="15">
      <c r="A45">
        <v>8</v>
      </c>
      <c r="B45">
        <v>9.79</v>
      </c>
      <c r="C45">
        <v>5.0821</v>
      </c>
      <c r="D45">
        <v>14.32</v>
      </c>
      <c r="E45">
        <v>41.16</v>
      </c>
      <c r="F45">
        <v>16.1374</v>
      </c>
      <c r="G45">
        <v>44.69</v>
      </c>
      <c r="H45">
        <v>44.09</v>
      </c>
      <c r="I45">
        <v>8</v>
      </c>
    </row>
    <row r="46" spans="1:9" ht="15">
      <c r="A46">
        <v>7</v>
      </c>
      <c r="B46">
        <v>9.91</v>
      </c>
      <c r="C46">
        <v>5.1389</v>
      </c>
      <c r="D46">
        <v>14.64</v>
      </c>
      <c r="E46">
        <v>41.68</v>
      </c>
      <c r="F46">
        <v>16.2463</v>
      </c>
      <c r="G46">
        <v>45.45</v>
      </c>
      <c r="H46">
        <v>44.93</v>
      </c>
      <c r="I46">
        <v>7</v>
      </c>
    </row>
    <row r="47" spans="1:9" ht="15">
      <c r="A47">
        <v>6</v>
      </c>
      <c r="B47">
        <v>10.03</v>
      </c>
      <c r="C47">
        <v>5.1958</v>
      </c>
      <c r="D47">
        <v>14.97</v>
      </c>
      <c r="E47">
        <v>42.19</v>
      </c>
      <c r="F47">
        <v>16.3553</v>
      </c>
      <c r="G47">
        <v>46.21</v>
      </c>
      <c r="H47">
        <v>45.78</v>
      </c>
      <c r="I47">
        <v>6</v>
      </c>
    </row>
    <row r="48" spans="1:9" ht="15">
      <c r="A48">
        <v>5</v>
      </c>
      <c r="B48">
        <v>10.16</v>
      </c>
      <c r="C48">
        <v>5.2526</v>
      </c>
      <c r="D48">
        <v>15.29</v>
      </c>
      <c r="E48">
        <v>42.71</v>
      </c>
      <c r="F48">
        <v>16.4642</v>
      </c>
      <c r="G48">
        <v>46.97</v>
      </c>
      <c r="H48">
        <v>46.62</v>
      </c>
      <c r="I48">
        <v>5</v>
      </c>
    </row>
    <row r="49" spans="1:9" ht="15">
      <c r="A49">
        <v>4</v>
      </c>
      <c r="B49">
        <v>10.28</v>
      </c>
      <c r="C49">
        <v>5.3095</v>
      </c>
      <c r="D49">
        <v>15.62</v>
      </c>
      <c r="E49">
        <v>43.22</v>
      </c>
      <c r="F49">
        <v>16.5732</v>
      </c>
      <c r="G49">
        <v>47.73</v>
      </c>
      <c r="H49">
        <v>47.47</v>
      </c>
      <c r="I49">
        <v>4</v>
      </c>
    </row>
    <row r="50" spans="1:9" ht="15">
      <c r="A50">
        <v>3</v>
      </c>
      <c r="B50">
        <v>10.4</v>
      </c>
      <c r="C50">
        <v>5.3663</v>
      </c>
      <c r="D50">
        <v>15.95</v>
      </c>
      <c r="E50">
        <v>43.73</v>
      </c>
      <c r="F50">
        <v>17.0821</v>
      </c>
      <c r="G50">
        <v>48.48</v>
      </c>
      <c r="H50">
        <v>48.31</v>
      </c>
      <c r="I50">
        <v>3</v>
      </c>
    </row>
    <row r="51" spans="1:9" ht="15">
      <c r="A51">
        <v>2</v>
      </c>
      <c r="B51">
        <v>10.52</v>
      </c>
      <c r="C51">
        <v>5.4232</v>
      </c>
      <c r="D51">
        <v>16.27</v>
      </c>
      <c r="E51">
        <v>44.25</v>
      </c>
      <c r="F51">
        <v>17.1911</v>
      </c>
      <c r="G51">
        <v>49.24</v>
      </c>
      <c r="H51">
        <v>49.16</v>
      </c>
      <c r="I51">
        <v>2</v>
      </c>
    </row>
    <row r="52" spans="1:9" ht="15">
      <c r="A52">
        <v>1</v>
      </c>
      <c r="B52">
        <v>10.64</v>
      </c>
      <c r="C52">
        <v>5.48</v>
      </c>
      <c r="D52">
        <v>16.6</v>
      </c>
      <c r="E52">
        <v>44.76</v>
      </c>
      <c r="F52">
        <v>17.3</v>
      </c>
      <c r="G52">
        <v>50</v>
      </c>
      <c r="H52">
        <v>50</v>
      </c>
      <c r="I52">
        <v>1</v>
      </c>
    </row>
  </sheetData>
  <sheetProtection password="D2F3" sheet="1" objects="1" scenarios="1" selectLockedCell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K13">
      <selection activeCell="A19" sqref="A1:J1048576"/>
    </sheetView>
  </sheetViews>
  <sheetFormatPr defaultColWidth="11.421875" defaultRowHeight="15"/>
  <cols>
    <col min="1" max="10" width="11.421875" style="0" hidden="1" customWidth="1"/>
  </cols>
  <sheetData>
    <row r="1" spans="1:10" ht="15">
      <c r="A1" t="s">
        <v>8</v>
      </c>
      <c r="J1" t="s">
        <v>9</v>
      </c>
    </row>
    <row r="2" spans="1:10" ht="15">
      <c r="A2" t="s">
        <v>11</v>
      </c>
      <c r="B2" t="s">
        <v>15</v>
      </c>
      <c r="C2" t="s">
        <v>16</v>
      </c>
      <c r="D2" t="s">
        <v>17</v>
      </c>
      <c r="E2" t="s">
        <v>18</v>
      </c>
      <c r="F2" t="s">
        <v>104</v>
      </c>
      <c r="G2" t="s">
        <v>105</v>
      </c>
      <c r="H2" t="s">
        <v>106</v>
      </c>
      <c r="I2" t="s">
        <v>107</v>
      </c>
      <c r="J2" t="s">
        <v>11</v>
      </c>
    </row>
    <row r="3" spans="1:10" ht="15">
      <c r="A3">
        <v>1</v>
      </c>
      <c r="B3">
        <v>0.85</v>
      </c>
      <c r="C3">
        <v>1.1</v>
      </c>
      <c r="D3">
        <v>1.92</v>
      </c>
      <c r="E3">
        <v>5.2</v>
      </c>
      <c r="F3">
        <v>3.3</v>
      </c>
      <c r="G3">
        <v>6.1</v>
      </c>
      <c r="H3">
        <v>6.3</v>
      </c>
      <c r="I3">
        <v>6.1</v>
      </c>
      <c r="J3">
        <v>1</v>
      </c>
    </row>
    <row r="4" spans="1:10" ht="15">
      <c r="A4">
        <v>2</v>
      </c>
      <c r="B4">
        <v>0.86</v>
      </c>
      <c r="C4">
        <v>1.14</v>
      </c>
      <c r="D4">
        <v>2</v>
      </c>
      <c r="E4">
        <v>5.34</v>
      </c>
      <c r="F4">
        <v>3.46</v>
      </c>
      <c r="G4">
        <v>6.54</v>
      </c>
      <c r="H4">
        <v>6.98</v>
      </c>
      <c r="I4">
        <v>6.41</v>
      </c>
      <c r="J4">
        <v>2</v>
      </c>
    </row>
    <row r="5" spans="1:10" ht="15">
      <c r="A5">
        <v>3</v>
      </c>
      <c r="B5">
        <v>0.88</v>
      </c>
      <c r="C5">
        <v>1.17</v>
      </c>
      <c r="D5">
        <v>2.08</v>
      </c>
      <c r="E5">
        <v>5.47</v>
      </c>
      <c r="F5">
        <v>3.63</v>
      </c>
      <c r="G5">
        <v>6.97</v>
      </c>
      <c r="H5">
        <v>7.66</v>
      </c>
      <c r="I5">
        <v>6.72</v>
      </c>
      <c r="J5">
        <v>3</v>
      </c>
    </row>
    <row r="6" spans="1:10" ht="15">
      <c r="A6">
        <v>4</v>
      </c>
      <c r="B6">
        <v>0.89</v>
      </c>
      <c r="C6">
        <v>1.21</v>
      </c>
      <c r="D6">
        <v>2.15</v>
      </c>
      <c r="E6">
        <v>5.61</v>
      </c>
      <c r="F6">
        <v>3.79</v>
      </c>
      <c r="G6">
        <v>7.41</v>
      </c>
      <c r="H6">
        <v>8.34</v>
      </c>
      <c r="I6">
        <v>7.03</v>
      </c>
      <c r="J6">
        <v>4</v>
      </c>
    </row>
    <row r="7" spans="1:10" ht="15">
      <c r="A7">
        <v>5</v>
      </c>
      <c r="B7">
        <v>0.91</v>
      </c>
      <c r="C7">
        <v>1.25</v>
      </c>
      <c r="D7">
        <v>2.23</v>
      </c>
      <c r="E7">
        <v>5.75</v>
      </c>
      <c r="F7">
        <v>3.95</v>
      </c>
      <c r="G7">
        <v>7.85</v>
      </c>
      <c r="H7">
        <v>9.02</v>
      </c>
      <c r="I7">
        <v>7.34</v>
      </c>
      <c r="J7">
        <v>5</v>
      </c>
    </row>
    <row r="8" spans="1:10" ht="15">
      <c r="A8">
        <v>6</v>
      </c>
      <c r="B8">
        <v>0.92</v>
      </c>
      <c r="C8">
        <v>1.28</v>
      </c>
      <c r="D8">
        <v>2.31</v>
      </c>
      <c r="E8">
        <v>5.88</v>
      </c>
      <c r="F8">
        <v>4.12</v>
      </c>
      <c r="G8">
        <v>8.28</v>
      </c>
      <c r="H8">
        <v>9.69</v>
      </c>
      <c r="I8">
        <v>7.65</v>
      </c>
      <c r="J8">
        <v>6</v>
      </c>
    </row>
    <row r="9" spans="1:10" ht="15">
      <c r="A9">
        <v>7</v>
      </c>
      <c r="B9">
        <v>0.94</v>
      </c>
      <c r="C9">
        <v>1.32</v>
      </c>
      <c r="D9">
        <v>2.39</v>
      </c>
      <c r="E9">
        <v>6.02</v>
      </c>
      <c r="F9">
        <v>4.28</v>
      </c>
      <c r="G9">
        <v>8.72</v>
      </c>
      <c r="H9">
        <v>10.37</v>
      </c>
      <c r="I9">
        <v>7.96</v>
      </c>
      <c r="J9">
        <v>7</v>
      </c>
    </row>
    <row r="10" spans="1:10" ht="15">
      <c r="A10">
        <v>8</v>
      </c>
      <c r="B10">
        <v>0.95</v>
      </c>
      <c r="C10">
        <v>1.36</v>
      </c>
      <c r="D10">
        <v>2.47</v>
      </c>
      <c r="E10">
        <v>6.16</v>
      </c>
      <c r="F10">
        <v>4.44</v>
      </c>
      <c r="G10">
        <v>9.16</v>
      </c>
      <c r="H10">
        <v>11.05</v>
      </c>
      <c r="I10">
        <v>8.27</v>
      </c>
      <c r="J10">
        <v>8</v>
      </c>
    </row>
    <row r="11" spans="1:10" ht="15">
      <c r="A11">
        <v>9</v>
      </c>
      <c r="B11">
        <v>0.97</v>
      </c>
      <c r="C11">
        <v>1.39</v>
      </c>
      <c r="D11">
        <v>2.54</v>
      </c>
      <c r="E11">
        <v>6.29</v>
      </c>
      <c r="F11">
        <v>4.61</v>
      </c>
      <c r="G11">
        <v>9.59</v>
      </c>
      <c r="H11">
        <v>11.73</v>
      </c>
      <c r="I11">
        <v>8.58</v>
      </c>
      <c r="J11">
        <v>9</v>
      </c>
    </row>
    <row r="12" spans="1:10" ht="15">
      <c r="A12">
        <v>10</v>
      </c>
      <c r="B12">
        <v>0.98</v>
      </c>
      <c r="C12">
        <v>1.43</v>
      </c>
      <c r="D12">
        <v>2.62</v>
      </c>
      <c r="E12">
        <v>6.43</v>
      </c>
      <c r="F12">
        <v>4.77</v>
      </c>
      <c r="G12">
        <v>10.03</v>
      </c>
      <c r="H12">
        <v>12.41</v>
      </c>
      <c r="I12">
        <v>8.89</v>
      </c>
      <c r="J12">
        <v>10</v>
      </c>
    </row>
    <row r="13" spans="1:10" ht="15">
      <c r="A13">
        <v>11</v>
      </c>
      <c r="B13">
        <v>1</v>
      </c>
      <c r="C13">
        <v>1.47</v>
      </c>
      <c r="D13">
        <v>2.7</v>
      </c>
      <c r="E13">
        <v>6.57</v>
      </c>
      <c r="F13">
        <v>4.93</v>
      </c>
      <c r="G13">
        <v>10.47</v>
      </c>
      <c r="H13">
        <v>13.09</v>
      </c>
      <c r="I13">
        <v>9.21</v>
      </c>
      <c r="J13">
        <v>11</v>
      </c>
    </row>
    <row r="14" spans="1:10" ht="15">
      <c r="A14">
        <v>12</v>
      </c>
      <c r="B14">
        <v>1.01</v>
      </c>
      <c r="C14">
        <v>1.51</v>
      </c>
      <c r="D14">
        <v>2.78</v>
      </c>
      <c r="E14">
        <v>6.71</v>
      </c>
      <c r="F14">
        <v>5.09</v>
      </c>
      <c r="G14">
        <v>10.91</v>
      </c>
      <c r="H14">
        <v>13.77</v>
      </c>
      <c r="I14">
        <v>9.52</v>
      </c>
      <c r="J14">
        <v>12</v>
      </c>
    </row>
    <row r="15" spans="1:10" ht="15">
      <c r="A15">
        <v>13</v>
      </c>
      <c r="B15">
        <v>1.03</v>
      </c>
      <c r="C15">
        <v>1.54</v>
      </c>
      <c r="D15">
        <v>2.85</v>
      </c>
      <c r="E15">
        <v>6.84</v>
      </c>
      <c r="F15">
        <v>5.26</v>
      </c>
      <c r="G15">
        <v>11.34</v>
      </c>
      <c r="H15">
        <v>14.45</v>
      </c>
      <c r="I15">
        <v>9.83</v>
      </c>
      <c r="J15">
        <v>13</v>
      </c>
    </row>
    <row r="16" spans="1:10" ht="15">
      <c r="A16">
        <v>14</v>
      </c>
      <c r="B16">
        <v>1.04</v>
      </c>
      <c r="C16">
        <v>1.58</v>
      </c>
      <c r="D16">
        <v>2.93</v>
      </c>
      <c r="E16">
        <v>6.98</v>
      </c>
      <c r="F16">
        <v>5.42</v>
      </c>
      <c r="G16">
        <v>11.78</v>
      </c>
      <c r="H16">
        <v>15.13</v>
      </c>
      <c r="I16">
        <v>10.14</v>
      </c>
      <c r="J16">
        <v>14</v>
      </c>
    </row>
    <row r="17" spans="1:10" ht="15">
      <c r="A17">
        <v>15</v>
      </c>
      <c r="B17">
        <v>1.06</v>
      </c>
      <c r="C17">
        <v>1.62</v>
      </c>
      <c r="D17">
        <v>3.01</v>
      </c>
      <c r="E17">
        <v>7.12</v>
      </c>
      <c r="F17">
        <v>5.58</v>
      </c>
      <c r="G17">
        <v>12.22</v>
      </c>
      <c r="H17">
        <v>15.81</v>
      </c>
      <c r="I17">
        <v>10.45</v>
      </c>
      <c r="J17">
        <v>15</v>
      </c>
    </row>
    <row r="18" spans="1:10" ht="15">
      <c r="A18">
        <v>16</v>
      </c>
      <c r="B18">
        <v>1.07</v>
      </c>
      <c r="C18">
        <v>1.65</v>
      </c>
      <c r="D18">
        <v>3.09</v>
      </c>
      <c r="E18">
        <v>7.25</v>
      </c>
      <c r="F18">
        <v>5.75</v>
      </c>
      <c r="G18">
        <v>12.65</v>
      </c>
      <c r="H18">
        <v>16.48</v>
      </c>
      <c r="I18">
        <v>10.76</v>
      </c>
      <c r="J18">
        <v>16</v>
      </c>
    </row>
    <row r="19" spans="1:10" ht="15">
      <c r="A19">
        <v>17</v>
      </c>
      <c r="B19">
        <v>1.09</v>
      </c>
      <c r="C19">
        <v>1.69</v>
      </c>
      <c r="D19">
        <v>3.17</v>
      </c>
      <c r="E19">
        <v>7.39</v>
      </c>
      <c r="F19">
        <v>5.91</v>
      </c>
      <c r="G19">
        <v>13.09</v>
      </c>
      <c r="H19">
        <v>17.16</v>
      </c>
      <c r="I19">
        <v>11.07</v>
      </c>
      <c r="J19">
        <v>17</v>
      </c>
    </row>
    <row r="20" spans="1:10" ht="15">
      <c r="A20">
        <v>18</v>
      </c>
      <c r="B20">
        <v>1.1</v>
      </c>
      <c r="C20">
        <v>1.73</v>
      </c>
      <c r="D20">
        <v>3.24</v>
      </c>
      <c r="E20">
        <v>7.53</v>
      </c>
      <c r="F20">
        <v>6.07</v>
      </c>
      <c r="G20">
        <v>13.53</v>
      </c>
      <c r="H20">
        <v>17.84</v>
      </c>
      <c r="I20">
        <v>11.38</v>
      </c>
      <c r="J20">
        <v>18</v>
      </c>
    </row>
    <row r="21" spans="1:10" ht="15">
      <c r="A21">
        <v>19</v>
      </c>
      <c r="B21">
        <v>1.12</v>
      </c>
      <c r="C21">
        <v>1.76</v>
      </c>
      <c r="D21">
        <v>3.32</v>
      </c>
      <c r="E21">
        <v>7.66</v>
      </c>
      <c r="F21">
        <v>6.24</v>
      </c>
      <c r="G21">
        <v>13.96</v>
      </c>
      <c r="H21">
        <v>18.52</v>
      </c>
      <c r="I21">
        <v>11.69</v>
      </c>
      <c r="J21">
        <v>19</v>
      </c>
    </row>
    <row r="22" spans="1:10" ht="15">
      <c r="A22">
        <v>20</v>
      </c>
      <c r="B22">
        <v>1.13</v>
      </c>
      <c r="C22">
        <v>1.8</v>
      </c>
      <c r="D22">
        <v>3.4</v>
      </c>
      <c r="E22">
        <v>7.8</v>
      </c>
      <c r="F22">
        <v>6.4</v>
      </c>
      <c r="G22">
        <v>14.4</v>
      </c>
      <c r="H22">
        <v>19.2</v>
      </c>
      <c r="I22">
        <v>12</v>
      </c>
      <c r="J22">
        <v>20</v>
      </c>
    </row>
    <row r="23" spans="1:10" ht="15">
      <c r="A23">
        <v>21</v>
      </c>
      <c r="B23">
        <v>1.15</v>
      </c>
      <c r="C23">
        <v>1.83</v>
      </c>
      <c r="D23">
        <v>3.47</v>
      </c>
      <c r="E23">
        <v>7.93</v>
      </c>
      <c r="F23">
        <v>6.66</v>
      </c>
      <c r="G23">
        <v>15.19</v>
      </c>
      <c r="H23">
        <v>20.34</v>
      </c>
      <c r="I23">
        <v>12.87</v>
      </c>
      <c r="J23">
        <v>21</v>
      </c>
    </row>
    <row r="24" spans="1:10" ht="15">
      <c r="A24">
        <v>22</v>
      </c>
      <c r="B24">
        <v>1.16</v>
      </c>
      <c r="C24">
        <v>1.86</v>
      </c>
      <c r="D24">
        <v>3.54</v>
      </c>
      <c r="E24">
        <v>8.06</v>
      </c>
      <c r="F24">
        <v>6.93</v>
      </c>
      <c r="G24">
        <v>15.98</v>
      </c>
      <c r="H24" s="3">
        <v>21.49</v>
      </c>
      <c r="I24">
        <v>13.74</v>
      </c>
      <c r="J24">
        <v>22</v>
      </c>
    </row>
    <row r="25" spans="1:10" ht="15">
      <c r="A25">
        <v>23</v>
      </c>
      <c r="B25">
        <v>1.18</v>
      </c>
      <c r="C25">
        <v>1.9</v>
      </c>
      <c r="D25">
        <v>3.61</v>
      </c>
      <c r="E25">
        <v>8.18</v>
      </c>
      <c r="F25">
        <v>7.19</v>
      </c>
      <c r="G25">
        <v>16.78</v>
      </c>
      <c r="H25">
        <v>22.63</v>
      </c>
      <c r="I25">
        <v>14.62</v>
      </c>
      <c r="J25">
        <v>23</v>
      </c>
    </row>
    <row r="26" spans="1:10" ht="15">
      <c r="A26">
        <v>24</v>
      </c>
      <c r="B26">
        <v>1.2</v>
      </c>
      <c r="C26">
        <v>1.93</v>
      </c>
      <c r="D26">
        <v>3.68</v>
      </c>
      <c r="E26">
        <v>8.31</v>
      </c>
      <c r="F26">
        <v>7.46</v>
      </c>
      <c r="G26">
        <v>17.57</v>
      </c>
      <c r="H26">
        <v>23.78</v>
      </c>
      <c r="I26">
        <v>15.49</v>
      </c>
      <c r="J26">
        <v>24</v>
      </c>
    </row>
    <row r="27" spans="1:10" ht="15">
      <c r="A27">
        <v>25</v>
      </c>
      <c r="B27">
        <v>1.21</v>
      </c>
      <c r="C27">
        <v>1.96</v>
      </c>
      <c r="D27">
        <v>3.75</v>
      </c>
      <c r="E27">
        <v>8.44</v>
      </c>
      <c r="F27">
        <v>7.72</v>
      </c>
      <c r="G27">
        <v>18.36</v>
      </c>
      <c r="H27">
        <v>24.92</v>
      </c>
      <c r="I27">
        <v>16.36</v>
      </c>
      <c r="J27">
        <v>25</v>
      </c>
    </row>
    <row r="28" spans="1:10" ht="15">
      <c r="A28">
        <v>26</v>
      </c>
      <c r="B28">
        <v>1.23</v>
      </c>
      <c r="C28">
        <v>1.99</v>
      </c>
      <c r="D28">
        <v>3.82</v>
      </c>
      <c r="E28">
        <v>8.57</v>
      </c>
      <c r="F28">
        <v>7.98</v>
      </c>
      <c r="G28">
        <v>19.15</v>
      </c>
      <c r="H28">
        <v>26.06</v>
      </c>
      <c r="I28">
        <v>17.23</v>
      </c>
      <c r="J28">
        <v>26</v>
      </c>
    </row>
    <row r="29" spans="1:10" ht="15">
      <c r="A29">
        <v>27</v>
      </c>
      <c r="B29">
        <v>1.25</v>
      </c>
      <c r="C29">
        <v>2.02</v>
      </c>
      <c r="D29">
        <v>3.89</v>
      </c>
      <c r="E29">
        <v>8.7</v>
      </c>
      <c r="F29">
        <v>8.25</v>
      </c>
      <c r="G29">
        <v>19.94</v>
      </c>
      <c r="H29">
        <v>27.21</v>
      </c>
      <c r="I29">
        <v>18.1</v>
      </c>
      <c r="J29">
        <v>27</v>
      </c>
    </row>
    <row r="30" spans="1:10" ht="15">
      <c r="A30">
        <v>28</v>
      </c>
      <c r="B30">
        <v>1.26</v>
      </c>
      <c r="C30">
        <v>2.06</v>
      </c>
      <c r="D30">
        <v>3.96</v>
      </c>
      <c r="E30">
        <v>8.82</v>
      </c>
      <c r="F30">
        <v>8.51</v>
      </c>
      <c r="G30">
        <v>20.74</v>
      </c>
      <c r="H30">
        <v>28.35</v>
      </c>
      <c r="I30">
        <v>18.98</v>
      </c>
      <c r="J30">
        <v>28</v>
      </c>
    </row>
    <row r="31" spans="1:10" ht="15">
      <c r="A31">
        <v>29</v>
      </c>
      <c r="B31">
        <v>1.28</v>
      </c>
      <c r="C31">
        <v>2.09</v>
      </c>
      <c r="D31">
        <v>4.03</v>
      </c>
      <c r="E31">
        <v>8.95</v>
      </c>
      <c r="F31">
        <v>8.78</v>
      </c>
      <c r="G31">
        <v>21.53</v>
      </c>
      <c r="H31">
        <v>29.5</v>
      </c>
      <c r="I31">
        <v>19.85</v>
      </c>
      <c r="J31">
        <v>29</v>
      </c>
    </row>
    <row r="32" spans="1:10" ht="15">
      <c r="A32">
        <v>30</v>
      </c>
      <c r="B32">
        <v>1.3</v>
      </c>
      <c r="C32">
        <v>2.12</v>
      </c>
      <c r="D32">
        <v>4.1</v>
      </c>
      <c r="E32">
        <v>9.08</v>
      </c>
      <c r="F32">
        <v>9.04</v>
      </c>
      <c r="G32">
        <v>22.32</v>
      </c>
      <c r="H32">
        <v>30.64</v>
      </c>
      <c r="I32">
        <v>20.72</v>
      </c>
      <c r="J32">
        <v>30</v>
      </c>
    </row>
    <row r="33" spans="1:10" ht="15">
      <c r="A33">
        <v>31</v>
      </c>
      <c r="B33">
        <v>1.31</v>
      </c>
      <c r="C33">
        <v>2.15</v>
      </c>
      <c r="D33">
        <v>4.17</v>
      </c>
      <c r="E33">
        <v>9.21</v>
      </c>
      <c r="F33">
        <v>9.3</v>
      </c>
      <c r="G33">
        <v>23.11</v>
      </c>
      <c r="H33">
        <v>31.78</v>
      </c>
      <c r="I33">
        <v>21.59</v>
      </c>
      <c r="J33">
        <v>31</v>
      </c>
    </row>
    <row r="34" spans="1:10" ht="15">
      <c r="A34">
        <v>32</v>
      </c>
      <c r="B34">
        <v>1.33</v>
      </c>
      <c r="C34">
        <v>2.18</v>
      </c>
      <c r="D34">
        <v>4.24</v>
      </c>
      <c r="E34">
        <v>9.34</v>
      </c>
      <c r="F34">
        <v>9.57</v>
      </c>
      <c r="G34">
        <v>23.9</v>
      </c>
      <c r="H34">
        <v>32.93</v>
      </c>
      <c r="I34">
        <v>22.46</v>
      </c>
      <c r="J34">
        <v>32</v>
      </c>
    </row>
    <row r="35" spans="1:10" ht="15">
      <c r="A35">
        <v>33</v>
      </c>
      <c r="B35">
        <v>1.35</v>
      </c>
      <c r="C35">
        <v>2.22</v>
      </c>
      <c r="D35">
        <v>4.3</v>
      </c>
      <c r="E35">
        <v>9.46</v>
      </c>
      <c r="F35">
        <v>9.83</v>
      </c>
      <c r="G35">
        <v>24.7</v>
      </c>
      <c r="H35">
        <v>34.07</v>
      </c>
      <c r="I35">
        <v>23.34</v>
      </c>
      <c r="J35">
        <v>33</v>
      </c>
    </row>
    <row r="36" spans="1:10" ht="15">
      <c r="A36">
        <v>34</v>
      </c>
      <c r="B36">
        <v>1.37</v>
      </c>
      <c r="C36">
        <v>2.25</v>
      </c>
      <c r="D36">
        <v>4.37</v>
      </c>
      <c r="E36">
        <v>9.59</v>
      </c>
      <c r="F36">
        <v>10.1</v>
      </c>
      <c r="G36">
        <v>25.49</v>
      </c>
      <c r="H36">
        <v>35.22</v>
      </c>
      <c r="I36">
        <v>24.21</v>
      </c>
      <c r="J36">
        <v>34</v>
      </c>
    </row>
    <row r="37" spans="1:10" ht="15">
      <c r="A37">
        <v>35</v>
      </c>
      <c r="B37">
        <v>1.38</v>
      </c>
      <c r="C37">
        <v>2.28</v>
      </c>
      <c r="D37">
        <v>4.44</v>
      </c>
      <c r="E37">
        <v>9.72</v>
      </c>
      <c r="F37">
        <v>10.36</v>
      </c>
      <c r="G37">
        <v>26.28</v>
      </c>
      <c r="H37">
        <v>36.36</v>
      </c>
      <c r="I37">
        <v>25.08</v>
      </c>
      <c r="J37">
        <v>35</v>
      </c>
    </row>
    <row r="38" spans="1:10" ht="15">
      <c r="A38">
        <v>36</v>
      </c>
      <c r="B38">
        <v>1.4</v>
      </c>
      <c r="C38">
        <v>2.31</v>
      </c>
      <c r="D38">
        <v>4.51</v>
      </c>
      <c r="E38">
        <v>9.85</v>
      </c>
      <c r="F38">
        <v>10.62</v>
      </c>
      <c r="G38">
        <v>27.07</v>
      </c>
      <c r="H38">
        <v>37.5</v>
      </c>
      <c r="I38">
        <v>25.95</v>
      </c>
      <c r="J38">
        <v>36</v>
      </c>
    </row>
    <row r="39" spans="1:10" ht="15">
      <c r="A39">
        <v>37</v>
      </c>
      <c r="B39">
        <v>1.42</v>
      </c>
      <c r="C39">
        <v>2.34</v>
      </c>
      <c r="D39">
        <v>4.58</v>
      </c>
      <c r="E39">
        <v>9.98</v>
      </c>
      <c r="F39">
        <v>10.89</v>
      </c>
      <c r="G39">
        <v>27.86</v>
      </c>
      <c r="H39">
        <v>38.65</v>
      </c>
      <c r="I39">
        <v>26.82</v>
      </c>
      <c r="J39">
        <v>37</v>
      </c>
    </row>
    <row r="40" spans="1:10" ht="15">
      <c r="A40">
        <v>38</v>
      </c>
      <c r="B40">
        <v>1.43</v>
      </c>
      <c r="C40">
        <v>2.38</v>
      </c>
      <c r="D40">
        <v>4.65</v>
      </c>
      <c r="E40">
        <v>10.1</v>
      </c>
      <c r="F40">
        <v>11.15</v>
      </c>
      <c r="G40">
        <v>28.66</v>
      </c>
      <c r="H40">
        <v>39.79</v>
      </c>
      <c r="I40">
        <v>27.7</v>
      </c>
      <c r="J40">
        <v>38</v>
      </c>
    </row>
    <row r="41" spans="1:10" ht="15">
      <c r="A41">
        <v>39</v>
      </c>
      <c r="B41">
        <v>1.45</v>
      </c>
      <c r="C41">
        <v>2.41</v>
      </c>
      <c r="D41">
        <v>4.72</v>
      </c>
      <c r="E41">
        <v>10.23</v>
      </c>
      <c r="F41">
        <v>11.42</v>
      </c>
      <c r="G41">
        <v>29.45</v>
      </c>
      <c r="H41">
        <v>40.94</v>
      </c>
      <c r="I41">
        <v>28.57</v>
      </c>
      <c r="J41">
        <v>39</v>
      </c>
    </row>
    <row r="42" spans="1:10" ht="15">
      <c r="A42">
        <v>40</v>
      </c>
      <c r="B42">
        <v>1.47</v>
      </c>
      <c r="C42">
        <v>2.44</v>
      </c>
      <c r="D42">
        <v>4.79</v>
      </c>
      <c r="E42">
        <v>10.36</v>
      </c>
      <c r="F42">
        <v>11.68</v>
      </c>
      <c r="G42">
        <v>30.24</v>
      </c>
      <c r="H42">
        <v>42.08</v>
      </c>
      <c r="I42">
        <v>29.44</v>
      </c>
      <c r="J42">
        <v>40</v>
      </c>
    </row>
    <row r="43" spans="1:10" ht="15">
      <c r="A43">
        <v>41</v>
      </c>
      <c r="B43">
        <v>1.48</v>
      </c>
      <c r="C43">
        <v>2.47</v>
      </c>
      <c r="D43">
        <v>4.86</v>
      </c>
      <c r="E43">
        <v>10.49</v>
      </c>
      <c r="F43">
        <v>11.94</v>
      </c>
      <c r="G43">
        <v>31.03</v>
      </c>
      <c r="H43">
        <v>43.22</v>
      </c>
      <c r="I43">
        <v>30.31</v>
      </c>
      <c r="J43">
        <v>41</v>
      </c>
    </row>
    <row r="44" spans="1:10" ht="15">
      <c r="A44">
        <v>42</v>
      </c>
      <c r="B44">
        <v>1.5</v>
      </c>
      <c r="C44">
        <v>2.5</v>
      </c>
      <c r="D44">
        <v>4.93</v>
      </c>
      <c r="E44">
        <v>10.62</v>
      </c>
      <c r="F44">
        <v>12.21</v>
      </c>
      <c r="G44">
        <v>31.82</v>
      </c>
      <c r="H44">
        <v>44.37</v>
      </c>
      <c r="I44">
        <v>31.18</v>
      </c>
      <c r="J44">
        <v>42</v>
      </c>
    </row>
    <row r="45" spans="1:10" ht="15">
      <c r="A45">
        <v>43</v>
      </c>
      <c r="B45">
        <v>1.52</v>
      </c>
      <c r="C45">
        <v>2.54</v>
      </c>
      <c r="D45">
        <v>5</v>
      </c>
      <c r="E45">
        <v>10.74</v>
      </c>
      <c r="F45">
        <v>12.47</v>
      </c>
      <c r="G45">
        <v>32.62</v>
      </c>
      <c r="H45">
        <v>45.51</v>
      </c>
      <c r="I45">
        <v>32.06</v>
      </c>
      <c r="J45">
        <v>43</v>
      </c>
    </row>
    <row r="46" spans="1:10" ht="15">
      <c r="A46">
        <v>44</v>
      </c>
      <c r="B46">
        <v>1.53</v>
      </c>
      <c r="C46">
        <v>2.57</v>
      </c>
      <c r="D46">
        <v>5.07</v>
      </c>
      <c r="E46">
        <v>10.87</v>
      </c>
      <c r="F46">
        <v>12.74</v>
      </c>
      <c r="G46">
        <v>33.41</v>
      </c>
      <c r="H46">
        <v>46.66</v>
      </c>
      <c r="I46">
        <v>32.93</v>
      </c>
      <c r="J46">
        <v>44</v>
      </c>
    </row>
    <row r="47" spans="1:10" ht="15">
      <c r="A47">
        <v>45</v>
      </c>
      <c r="B47">
        <v>1.55</v>
      </c>
      <c r="C47">
        <v>2.6</v>
      </c>
      <c r="D47">
        <v>5.14</v>
      </c>
      <c r="E47">
        <v>11</v>
      </c>
      <c r="F47">
        <v>13</v>
      </c>
      <c r="G47">
        <v>34.2</v>
      </c>
      <c r="H47">
        <v>47.8</v>
      </c>
      <c r="I47">
        <v>33.8</v>
      </c>
      <c r="J47">
        <v>45</v>
      </c>
    </row>
    <row r="48" spans="1:10" ht="15">
      <c r="A48">
        <v>46</v>
      </c>
      <c r="B48">
        <v>1.58</v>
      </c>
      <c r="C48">
        <v>2.74</v>
      </c>
      <c r="D48">
        <v>5.25</v>
      </c>
      <c r="E48">
        <v>11.14</v>
      </c>
      <c r="F48">
        <v>13.5</v>
      </c>
      <c r="G48">
        <v>36.48</v>
      </c>
      <c r="H48">
        <v>50.12</v>
      </c>
      <c r="I48">
        <v>36.38</v>
      </c>
      <c r="J48">
        <v>46</v>
      </c>
    </row>
    <row r="49" spans="1:10" ht="15">
      <c r="A49">
        <v>47</v>
      </c>
      <c r="B49">
        <v>1.61</v>
      </c>
      <c r="C49">
        <v>2.88</v>
      </c>
      <c r="D49">
        <v>5.35</v>
      </c>
      <c r="E49">
        <v>11.28</v>
      </c>
      <c r="F49">
        <v>13.99</v>
      </c>
      <c r="G49">
        <v>38.76</v>
      </c>
      <c r="H49">
        <v>52.45</v>
      </c>
      <c r="I49">
        <v>38.95</v>
      </c>
      <c r="J49">
        <v>47</v>
      </c>
    </row>
    <row r="50" spans="1:10" ht="15">
      <c r="A50">
        <v>48</v>
      </c>
      <c r="B50">
        <v>1.64</v>
      </c>
      <c r="C50">
        <v>3.02</v>
      </c>
      <c r="D50">
        <v>5.46</v>
      </c>
      <c r="E50">
        <v>11.43</v>
      </c>
      <c r="F50">
        <v>14.49</v>
      </c>
      <c r="G50">
        <v>41.03</v>
      </c>
      <c r="H50">
        <v>54.77</v>
      </c>
      <c r="I50">
        <v>41.53</v>
      </c>
      <c r="J50">
        <v>48</v>
      </c>
    </row>
    <row r="51" spans="1:10" ht="15">
      <c r="A51">
        <v>49</v>
      </c>
      <c r="B51">
        <v>1.67</v>
      </c>
      <c r="C51">
        <v>3.16</v>
      </c>
      <c r="D51">
        <v>5.56</v>
      </c>
      <c r="E51">
        <v>11.57</v>
      </c>
      <c r="F51">
        <v>14.98</v>
      </c>
      <c r="G51">
        <v>43.31</v>
      </c>
      <c r="H51">
        <v>57.1</v>
      </c>
      <c r="I51">
        <v>44.1</v>
      </c>
      <c r="J51">
        <v>49</v>
      </c>
    </row>
    <row r="52" spans="1:10" ht="15">
      <c r="A52">
        <v>50</v>
      </c>
      <c r="B52">
        <v>1.7</v>
      </c>
      <c r="C52">
        <v>3.3</v>
      </c>
      <c r="D52">
        <v>5.67</v>
      </c>
      <c r="E52">
        <v>11.71</v>
      </c>
      <c r="F52">
        <v>15.48</v>
      </c>
      <c r="G52">
        <v>45.59</v>
      </c>
      <c r="H52">
        <v>59.42</v>
      </c>
      <c r="I52">
        <v>46.68</v>
      </c>
      <c r="J52">
        <v>50</v>
      </c>
    </row>
  </sheetData>
  <sheetProtection password="D2F3" sheet="1" objects="1" scenarios="1" selectLockedCells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J1">
      <selection activeCell="A1" sqref="A1:I1048576"/>
    </sheetView>
  </sheetViews>
  <sheetFormatPr defaultColWidth="11.421875" defaultRowHeight="15"/>
  <cols>
    <col min="1" max="9" width="11.421875" style="0" hidden="1" customWidth="1"/>
  </cols>
  <sheetData>
    <row r="1" spans="1:2" ht="15">
      <c r="A1" t="s">
        <v>22</v>
      </c>
      <c r="B1" t="s">
        <v>23</v>
      </c>
    </row>
    <row r="2" spans="1:9" ht="15">
      <c r="A2" t="s">
        <v>11</v>
      </c>
      <c r="B2" t="s">
        <v>12</v>
      </c>
      <c r="C2" t="s">
        <v>24</v>
      </c>
      <c r="D2" t="s">
        <v>25</v>
      </c>
      <c r="E2" t="s">
        <v>14</v>
      </c>
      <c r="F2" t="s">
        <v>19</v>
      </c>
      <c r="G2" t="s">
        <v>30</v>
      </c>
      <c r="H2" t="s">
        <v>31</v>
      </c>
      <c r="I2" t="s">
        <v>11</v>
      </c>
    </row>
    <row r="3" spans="1:9" ht="15">
      <c r="A3">
        <v>50</v>
      </c>
      <c r="B3">
        <v>6.32</v>
      </c>
      <c r="C3">
        <v>2.4485</v>
      </c>
      <c r="D3">
        <v>7.35</v>
      </c>
      <c r="E3">
        <v>26.31</v>
      </c>
      <c r="F3">
        <v>9.2489</v>
      </c>
      <c r="G3">
        <v>29.58</v>
      </c>
      <c r="H3">
        <v>30.62</v>
      </c>
      <c r="I3">
        <v>50</v>
      </c>
    </row>
    <row r="4" spans="1:9" ht="15">
      <c r="A4">
        <v>49</v>
      </c>
      <c r="B4">
        <v>6.38</v>
      </c>
      <c r="C4">
        <v>2.4608</v>
      </c>
      <c r="D4">
        <v>7.4</v>
      </c>
      <c r="E4">
        <v>26.51</v>
      </c>
      <c r="F4">
        <v>9.3891</v>
      </c>
      <c r="G4">
        <v>29.86</v>
      </c>
      <c r="H4">
        <v>30.73</v>
      </c>
      <c r="I4">
        <v>49</v>
      </c>
    </row>
    <row r="5" spans="1:9" ht="15">
      <c r="A5">
        <v>48</v>
      </c>
      <c r="B5">
        <v>6.43</v>
      </c>
      <c r="C5">
        <v>2.4731</v>
      </c>
      <c r="D5">
        <v>7.44</v>
      </c>
      <c r="E5">
        <v>26.71</v>
      </c>
      <c r="F5">
        <v>9.5293</v>
      </c>
      <c r="G5">
        <v>30.15</v>
      </c>
      <c r="H5">
        <v>30.84</v>
      </c>
      <c r="I5">
        <v>48</v>
      </c>
    </row>
    <row r="6" spans="1:9" ht="15">
      <c r="A6">
        <v>47</v>
      </c>
      <c r="B6">
        <v>6.49</v>
      </c>
      <c r="C6">
        <v>2.4854</v>
      </c>
      <c r="D6">
        <v>7.49</v>
      </c>
      <c r="E6">
        <v>26.9</v>
      </c>
      <c r="F6">
        <v>10.0696</v>
      </c>
      <c r="G6">
        <v>30.43</v>
      </c>
      <c r="H6">
        <v>30.95</v>
      </c>
      <c r="I6">
        <v>47</v>
      </c>
    </row>
    <row r="7" spans="1:9" ht="15">
      <c r="A7">
        <v>46</v>
      </c>
      <c r="B7">
        <v>6.54</v>
      </c>
      <c r="C7">
        <v>2.4977</v>
      </c>
      <c r="D7">
        <v>7.53</v>
      </c>
      <c r="E7">
        <v>27.1</v>
      </c>
      <c r="F7">
        <v>10.2098</v>
      </c>
      <c r="G7">
        <v>30.72</v>
      </c>
      <c r="H7">
        <v>31.06</v>
      </c>
      <c r="I7">
        <v>46</v>
      </c>
    </row>
    <row r="8" spans="1:9" ht="15">
      <c r="A8">
        <v>45</v>
      </c>
      <c r="B8">
        <v>6.6</v>
      </c>
      <c r="C8">
        <v>2.51</v>
      </c>
      <c r="D8">
        <v>7.58</v>
      </c>
      <c r="E8">
        <v>27.3</v>
      </c>
      <c r="F8">
        <v>10.35</v>
      </c>
      <c r="G8">
        <v>31</v>
      </c>
      <c r="H8">
        <v>31.17</v>
      </c>
      <c r="I8">
        <v>45</v>
      </c>
    </row>
    <row r="9" spans="1:9" ht="15">
      <c r="A9">
        <v>44</v>
      </c>
      <c r="B9">
        <v>6.66</v>
      </c>
      <c r="C9">
        <v>2.53</v>
      </c>
      <c r="D9">
        <v>7.68</v>
      </c>
      <c r="E9">
        <v>27.4</v>
      </c>
      <c r="F9">
        <v>10.424</v>
      </c>
      <c r="G9">
        <v>31.17</v>
      </c>
      <c r="H9">
        <v>31.28</v>
      </c>
      <c r="I9">
        <v>44</v>
      </c>
    </row>
    <row r="10" spans="1:9" ht="15">
      <c r="A10">
        <v>43</v>
      </c>
      <c r="B10">
        <v>6.72</v>
      </c>
      <c r="C10">
        <v>2.55</v>
      </c>
      <c r="D10">
        <v>7.78</v>
      </c>
      <c r="E10">
        <v>27.5</v>
      </c>
      <c r="F10">
        <v>10.498</v>
      </c>
      <c r="G10">
        <v>31.34</v>
      </c>
      <c r="H10">
        <v>31.39</v>
      </c>
      <c r="I10">
        <v>43</v>
      </c>
    </row>
    <row r="11" spans="1:9" ht="15">
      <c r="A11">
        <v>42</v>
      </c>
      <c r="B11">
        <v>6.78</v>
      </c>
      <c r="C11">
        <v>2.57</v>
      </c>
      <c r="D11">
        <v>7.88</v>
      </c>
      <c r="E11">
        <v>27.6</v>
      </c>
      <c r="F11">
        <v>10.572</v>
      </c>
      <c r="G11">
        <v>31.52</v>
      </c>
      <c r="H11">
        <v>31.5</v>
      </c>
      <c r="I11">
        <v>42</v>
      </c>
    </row>
    <row r="12" spans="1:9" ht="15">
      <c r="A12">
        <v>41</v>
      </c>
      <c r="B12">
        <v>6.84</v>
      </c>
      <c r="C12">
        <v>2.59</v>
      </c>
      <c r="D12">
        <v>7.98</v>
      </c>
      <c r="E12">
        <v>27.7</v>
      </c>
      <c r="F12">
        <v>11.046</v>
      </c>
      <c r="G12">
        <v>31.69</v>
      </c>
      <c r="H12">
        <v>31.61</v>
      </c>
      <c r="I12">
        <v>41</v>
      </c>
    </row>
    <row r="13" spans="1:9" ht="15">
      <c r="A13">
        <v>40</v>
      </c>
      <c r="B13">
        <v>6.9</v>
      </c>
      <c r="C13">
        <v>3.01</v>
      </c>
      <c r="D13">
        <v>8.08</v>
      </c>
      <c r="E13">
        <v>27.8</v>
      </c>
      <c r="F13">
        <v>11.12</v>
      </c>
      <c r="G13">
        <v>31.86</v>
      </c>
      <c r="H13">
        <v>31.73</v>
      </c>
      <c r="I13">
        <v>40</v>
      </c>
    </row>
    <row r="14" spans="1:9" ht="15">
      <c r="A14">
        <v>39</v>
      </c>
      <c r="B14">
        <v>6.96</v>
      </c>
      <c r="C14">
        <v>3.03</v>
      </c>
      <c r="D14">
        <v>8.18</v>
      </c>
      <c r="E14">
        <v>27.9</v>
      </c>
      <c r="F14">
        <v>11.194</v>
      </c>
      <c r="G14">
        <v>32.03</v>
      </c>
      <c r="H14">
        <v>31.84</v>
      </c>
      <c r="I14">
        <v>39</v>
      </c>
    </row>
    <row r="15" spans="1:9" ht="15">
      <c r="A15">
        <v>38</v>
      </c>
      <c r="B15">
        <v>7.02</v>
      </c>
      <c r="C15">
        <v>3.06</v>
      </c>
      <c r="D15">
        <v>8.29</v>
      </c>
      <c r="E15">
        <v>28.01</v>
      </c>
      <c r="F15">
        <v>11.268</v>
      </c>
      <c r="G15">
        <v>32.2</v>
      </c>
      <c r="H15">
        <v>31.95</v>
      </c>
      <c r="I15">
        <v>38</v>
      </c>
    </row>
    <row r="16" spans="1:9" ht="15">
      <c r="A16">
        <v>37</v>
      </c>
      <c r="B16">
        <v>7.08</v>
      </c>
      <c r="C16">
        <v>3.08</v>
      </c>
      <c r="D16">
        <v>8.39</v>
      </c>
      <c r="E16">
        <v>28.11</v>
      </c>
      <c r="F16">
        <v>11.342</v>
      </c>
      <c r="G16">
        <v>32.38</v>
      </c>
      <c r="H16">
        <v>32.06</v>
      </c>
      <c r="I16">
        <v>37</v>
      </c>
    </row>
    <row r="17" spans="1:9" ht="15">
      <c r="A17">
        <v>36</v>
      </c>
      <c r="B17">
        <v>7.14</v>
      </c>
      <c r="C17">
        <v>3.1</v>
      </c>
      <c r="D17">
        <v>8.49</v>
      </c>
      <c r="E17">
        <v>28.21</v>
      </c>
      <c r="F17">
        <v>11.416</v>
      </c>
      <c r="G17">
        <v>32.55</v>
      </c>
      <c r="H17">
        <v>32.17</v>
      </c>
      <c r="I17">
        <v>36</v>
      </c>
    </row>
    <row r="18" spans="1:9" ht="15">
      <c r="A18">
        <v>35</v>
      </c>
      <c r="B18">
        <v>7.2</v>
      </c>
      <c r="C18">
        <v>3.12</v>
      </c>
      <c r="D18">
        <v>8.59</v>
      </c>
      <c r="E18">
        <v>28.31</v>
      </c>
      <c r="F18">
        <v>11.49</v>
      </c>
      <c r="G18">
        <v>32.72</v>
      </c>
      <c r="H18">
        <v>32.28</v>
      </c>
      <c r="I18">
        <v>35</v>
      </c>
    </row>
    <row r="19" spans="1:9" ht="15">
      <c r="A19">
        <v>34</v>
      </c>
      <c r="B19">
        <v>7.26</v>
      </c>
      <c r="C19">
        <v>3.14</v>
      </c>
      <c r="D19">
        <v>8.69</v>
      </c>
      <c r="E19">
        <v>28.41</v>
      </c>
      <c r="F19">
        <v>11.564</v>
      </c>
      <c r="G19">
        <v>32.89</v>
      </c>
      <c r="H19">
        <v>32.39</v>
      </c>
      <c r="I19">
        <v>34</v>
      </c>
    </row>
    <row r="20" spans="1:9" ht="15">
      <c r="A20">
        <v>33</v>
      </c>
      <c r="B20">
        <v>7.32</v>
      </c>
      <c r="C20">
        <v>3.16</v>
      </c>
      <c r="D20">
        <v>8.79</v>
      </c>
      <c r="E20">
        <v>28.51</v>
      </c>
      <c r="F20">
        <v>12.038</v>
      </c>
      <c r="G20">
        <v>33.06</v>
      </c>
      <c r="H20">
        <v>32.5</v>
      </c>
      <c r="I20">
        <v>33</v>
      </c>
    </row>
    <row r="21" spans="1:9" ht="15">
      <c r="A21">
        <v>32</v>
      </c>
      <c r="B21">
        <v>7.38</v>
      </c>
      <c r="C21">
        <v>3.18</v>
      </c>
      <c r="D21">
        <v>8.89</v>
      </c>
      <c r="E21">
        <v>28.61</v>
      </c>
      <c r="F21">
        <v>12.112</v>
      </c>
      <c r="G21">
        <v>33.24</v>
      </c>
      <c r="H21">
        <v>32.62</v>
      </c>
      <c r="I21">
        <v>32</v>
      </c>
    </row>
    <row r="22" spans="1:9" ht="15">
      <c r="A22">
        <v>31</v>
      </c>
      <c r="B22">
        <v>7.44</v>
      </c>
      <c r="C22">
        <v>3.2</v>
      </c>
      <c r="D22">
        <v>8.99</v>
      </c>
      <c r="E22">
        <v>28.71</v>
      </c>
      <c r="F22">
        <v>12.186</v>
      </c>
      <c r="G22">
        <v>33.41</v>
      </c>
      <c r="H22">
        <v>32.73</v>
      </c>
      <c r="I22">
        <v>31</v>
      </c>
    </row>
    <row r="23" spans="1:9" ht="15">
      <c r="A23">
        <v>30</v>
      </c>
      <c r="B23">
        <v>7.5</v>
      </c>
      <c r="C23">
        <v>3.22</v>
      </c>
      <c r="D23">
        <v>9.09</v>
      </c>
      <c r="E23">
        <v>28.81</v>
      </c>
      <c r="F23">
        <v>12.26</v>
      </c>
      <c r="G23">
        <v>33.58</v>
      </c>
      <c r="H23">
        <v>32.84</v>
      </c>
      <c r="I23">
        <v>30</v>
      </c>
    </row>
    <row r="24" spans="1:9" ht="15">
      <c r="A24">
        <v>29</v>
      </c>
      <c r="B24">
        <v>7.56</v>
      </c>
      <c r="C24">
        <v>3.24</v>
      </c>
      <c r="D24">
        <v>9.19</v>
      </c>
      <c r="E24">
        <v>28.91</v>
      </c>
      <c r="F24">
        <v>12.334</v>
      </c>
      <c r="G24">
        <v>33.75</v>
      </c>
      <c r="H24">
        <v>32.95</v>
      </c>
      <c r="I24">
        <v>29</v>
      </c>
    </row>
    <row r="25" spans="1:9" ht="15">
      <c r="A25">
        <v>28</v>
      </c>
      <c r="B25">
        <v>7.62</v>
      </c>
      <c r="C25">
        <v>3.26</v>
      </c>
      <c r="D25">
        <v>9.29</v>
      </c>
      <c r="E25">
        <v>29.01</v>
      </c>
      <c r="F25">
        <v>12.408</v>
      </c>
      <c r="G25">
        <v>33.92</v>
      </c>
      <c r="H25">
        <v>33.06</v>
      </c>
      <c r="I25">
        <v>28</v>
      </c>
    </row>
    <row r="26" spans="1:9" ht="15">
      <c r="A26">
        <v>27</v>
      </c>
      <c r="B26">
        <v>7.68</v>
      </c>
      <c r="C26">
        <v>3.28</v>
      </c>
      <c r="D26">
        <v>9.39</v>
      </c>
      <c r="E26">
        <v>29.11</v>
      </c>
      <c r="F26">
        <v>12.482</v>
      </c>
      <c r="G26">
        <v>34.1</v>
      </c>
      <c r="H26">
        <v>33.17</v>
      </c>
      <c r="I26">
        <v>27</v>
      </c>
    </row>
    <row r="27" spans="1:9" ht="15">
      <c r="A27">
        <v>26</v>
      </c>
      <c r="B27">
        <v>7.74</v>
      </c>
      <c r="C27">
        <v>3.31</v>
      </c>
      <c r="D27">
        <v>9.5</v>
      </c>
      <c r="E27">
        <v>29.22</v>
      </c>
      <c r="F27">
        <v>12.556</v>
      </c>
      <c r="G27">
        <v>34.27</v>
      </c>
      <c r="H27">
        <v>33.28</v>
      </c>
      <c r="I27">
        <v>26</v>
      </c>
    </row>
    <row r="28" spans="1:9" ht="15">
      <c r="A28">
        <v>25</v>
      </c>
      <c r="B28">
        <v>7.8</v>
      </c>
      <c r="C28">
        <v>3.33</v>
      </c>
      <c r="D28">
        <v>9.6</v>
      </c>
      <c r="E28">
        <v>29.32</v>
      </c>
      <c r="F28">
        <v>13.03</v>
      </c>
      <c r="G28">
        <v>34.44</v>
      </c>
      <c r="H28">
        <v>33.39</v>
      </c>
      <c r="I28">
        <v>25</v>
      </c>
    </row>
    <row r="29" spans="1:9" ht="15">
      <c r="A29">
        <v>24</v>
      </c>
      <c r="B29">
        <v>7.86</v>
      </c>
      <c r="C29">
        <v>3.35</v>
      </c>
      <c r="D29">
        <v>9.7</v>
      </c>
      <c r="E29">
        <v>29.42</v>
      </c>
      <c r="F29">
        <v>13.104</v>
      </c>
      <c r="G29">
        <v>34.61</v>
      </c>
      <c r="H29">
        <v>33.51</v>
      </c>
      <c r="I29">
        <v>24</v>
      </c>
    </row>
    <row r="30" spans="1:9" ht="15">
      <c r="A30">
        <v>23</v>
      </c>
      <c r="B30">
        <v>7.92</v>
      </c>
      <c r="C30">
        <v>3.37</v>
      </c>
      <c r="D30">
        <v>9.8</v>
      </c>
      <c r="E30">
        <v>29.52</v>
      </c>
      <c r="F30">
        <v>13.178</v>
      </c>
      <c r="G30">
        <v>34.78</v>
      </c>
      <c r="H30">
        <v>33.62</v>
      </c>
      <c r="I30">
        <v>23</v>
      </c>
    </row>
    <row r="31" spans="1:9" ht="15">
      <c r="A31">
        <v>22</v>
      </c>
      <c r="B31">
        <v>7.98</v>
      </c>
      <c r="C31">
        <v>3.39</v>
      </c>
      <c r="D31">
        <v>9.9</v>
      </c>
      <c r="E31">
        <v>29.62</v>
      </c>
      <c r="F31">
        <v>13.252</v>
      </c>
      <c r="G31">
        <v>34.96</v>
      </c>
      <c r="H31">
        <v>33.73</v>
      </c>
      <c r="I31">
        <v>22</v>
      </c>
    </row>
    <row r="32" spans="1:9" ht="15">
      <c r="A32">
        <v>21</v>
      </c>
      <c r="B32">
        <v>8.04</v>
      </c>
      <c r="C32">
        <v>3.41</v>
      </c>
      <c r="D32">
        <v>10</v>
      </c>
      <c r="E32">
        <v>29.72</v>
      </c>
      <c r="F32">
        <v>13.326</v>
      </c>
      <c r="G32">
        <v>35.13</v>
      </c>
      <c r="H32">
        <v>33.84</v>
      </c>
      <c r="I32">
        <v>21</v>
      </c>
    </row>
    <row r="33" spans="1:9" ht="15">
      <c r="A33">
        <v>20</v>
      </c>
      <c r="B33">
        <v>8.1</v>
      </c>
      <c r="C33">
        <v>3.43</v>
      </c>
      <c r="D33">
        <v>10.1</v>
      </c>
      <c r="E33">
        <v>29.82</v>
      </c>
      <c r="F33">
        <v>13.4</v>
      </c>
      <c r="G33">
        <v>35.3</v>
      </c>
      <c r="H33">
        <v>33.95</v>
      </c>
      <c r="I33">
        <v>20</v>
      </c>
    </row>
    <row r="34" spans="1:9" ht="15">
      <c r="A34">
        <v>19</v>
      </c>
      <c r="B34">
        <v>8.24</v>
      </c>
      <c r="C34">
        <v>3.49</v>
      </c>
      <c r="D34">
        <v>10.38</v>
      </c>
      <c r="E34">
        <v>30.1</v>
      </c>
      <c r="F34">
        <v>13.5526</v>
      </c>
      <c r="G34">
        <v>36.07</v>
      </c>
      <c r="H34">
        <v>34.79</v>
      </c>
      <c r="I34">
        <v>19</v>
      </c>
    </row>
    <row r="35" spans="1:9" ht="15">
      <c r="A35">
        <v>18</v>
      </c>
      <c r="B35">
        <v>8.38</v>
      </c>
      <c r="C35">
        <v>3.54</v>
      </c>
      <c r="D35">
        <v>10.67</v>
      </c>
      <c r="E35">
        <v>30.39</v>
      </c>
      <c r="F35">
        <v>14.1053</v>
      </c>
      <c r="G35">
        <v>36.85</v>
      </c>
      <c r="H35">
        <v>35.64</v>
      </c>
      <c r="I35">
        <v>18</v>
      </c>
    </row>
    <row r="36" spans="1:9" ht="15">
      <c r="A36">
        <v>17</v>
      </c>
      <c r="B36">
        <v>8.53</v>
      </c>
      <c r="C36">
        <v>3.6</v>
      </c>
      <c r="D36">
        <v>10.95</v>
      </c>
      <c r="E36">
        <v>30.67</v>
      </c>
      <c r="F36">
        <v>14.2579</v>
      </c>
      <c r="G36">
        <v>37.62</v>
      </c>
      <c r="H36">
        <v>36.48</v>
      </c>
      <c r="I36">
        <v>17</v>
      </c>
    </row>
    <row r="37" spans="1:9" ht="15">
      <c r="A37">
        <v>16</v>
      </c>
      <c r="B37">
        <v>8.67</v>
      </c>
      <c r="C37">
        <v>4.06</v>
      </c>
      <c r="D37">
        <v>11.24</v>
      </c>
      <c r="E37">
        <v>30.96</v>
      </c>
      <c r="F37">
        <v>14.4105</v>
      </c>
      <c r="G37">
        <v>38.39</v>
      </c>
      <c r="H37">
        <v>37.33</v>
      </c>
      <c r="I37">
        <v>16</v>
      </c>
    </row>
    <row r="38" spans="1:9" ht="15">
      <c r="A38">
        <v>15</v>
      </c>
      <c r="B38">
        <v>8.81</v>
      </c>
      <c r="C38">
        <v>4.11</v>
      </c>
      <c r="D38">
        <v>11.52</v>
      </c>
      <c r="E38">
        <v>31.24</v>
      </c>
      <c r="F38">
        <v>14.5632</v>
      </c>
      <c r="G38">
        <v>39.17</v>
      </c>
      <c r="H38">
        <v>38.17</v>
      </c>
      <c r="I38">
        <v>15</v>
      </c>
    </row>
    <row r="39" spans="1:9" ht="15">
      <c r="A39">
        <v>14</v>
      </c>
      <c r="B39">
        <v>8.95</v>
      </c>
      <c r="C39">
        <v>4.17</v>
      </c>
      <c r="D39">
        <v>11.81</v>
      </c>
      <c r="E39">
        <v>31.53</v>
      </c>
      <c r="F39">
        <v>15.1158</v>
      </c>
      <c r="G39">
        <v>39.94</v>
      </c>
      <c r="H39">
        <v>39.02</v>
      </c>
      <c r="I39">
        <v>14</v>
      </c>
    </row>
    <row r="40" spans="1:9" ht="15">
      <c r="A40">
        <v>13</v>
      </c>
      <c r="B40">
        <v>9.09</v>
      </c>
      <c r="C40">
        <v>4.22</v>
      </c>
      <c r="D40">
        <v>12.09</v>
      </c>
      <c r="E40">
        <v>31.81</v>
      </c>
      <c r="F40">
        <v>15.2684</v>
      </c>
      <c r="G40">
        <v>40.72</v>
      </c>
      <c r="H40">
        <v>39.86</v>
      </c>
      <c r="I40">
        <v>13</v>
      </c>
    </row>
    <row r="41" spans="1:9" ht="15">
      <c r="A41">
        <v>12</v>
      </c>
      <c r="B41">
        <v>9.24</v>
      </c>
      <c r="C41">
        <v>4.28</v>
      </c>
      <c r="D41">
        <v>12.37</v>
      </c>
      <c r="E41">
        <v>32.09</v>
      </c>
      <c r="F41">
        <v>15.4211</v>
      </c>
      <c r="G41">
        <v>41.49</v>
      </c>
      <c r="H41">
        <v>40.71</v>
      </c>
      <c r="I41">
        <v>12</v>
      </c>
    </row>
    <row r="42" spans="1:9" ht="15">
      <c r="A42">
        <v>11</v>
      </c>
      <c r="B42">
        <v>9.38</v>
      </c>
      <c r="C42">
        <v>4.34</v>
      </c>
      <c r="D42">
        <v>12.66</v>
      </c>
      <c r="E42">
        <v>32.38</v>
      </c>
      <c r="F42">
        <v>15.5737</v>
      </c>
      <c r="G42">
        <v>42.26</v>
      </c>
      <c r="H42">
        <v>41.55</v>
      </c>
      <c r="I42">
        <v>11</v>
      </c>
    </row>
    <row r="43" spans="1:9" ht="15">
      <c r="A43">
        <v>10</v>
      </c>
      <c r="B43">
        <v>9.52</v>
      </c>
      <c r="C43">
        <v>4.39</v>
      </c>
      <c r="D43">
        <v>12.94</v>
      </c>
      <c r="E43">
        <v>32.66</v>
      </c>
      <c r="F43">
        <v>16.1263</v>
      </c>
      <c r="G43">
        <v>43.04</v>
      </c>
      <c r="H43">
        <v>42.4</v>
      </c>
      <c r="I43">
        <v>10</v>
      </c>
    </row>
    <row r="44" spans="1:9" ht="15">
      <c r="A44">
        <v>9</v>
      </c>
      <c r="B44">
        <v>9.66</v>
      </c>
      <c r="C44">
        <v>4.45</v>
      </c>
      <c r="D44">
        <v>13.23</v>
      </c>
      <c r="E44">
        <v>32.95</v>
      </c>
      <c r="F44">
        <v>16.2789</v>
      </c>
      <c r="G44">
        <v>43.81</v>
      </c>
      <c r="H44">
        <v>43.24</v>
      </c>
      <c r="I44">
        <v>9</v>
      </c>
    </row>
    <row r="45" spans="1:9" ht="15">
      <c r="A45">
        <v>8</v>
      </c>
      <c r="B45">
        <v>9.81</v>
      </c>
      <c r="C45">
        <v>4.51</v>
      </c>
      <c r="D45">
        <v>13.51</v>
      </c>
      <c r="E45">
        <v>33.23</v>
      </c>
      <c r="F45">
        <v>16.4316</v>
      </c>
      <c r="G45">
        <v>44.58</v>
      </c>
      <c r="H45">
        <v>44.09</v>
      </c>
      <c r="I45">
        <v>8</v>
      </c>
    </row>
    <row r="46" spans="1:9" ht="15">
      <c r="A46">
        <v>7</v>
      </c>
      <c r="B46">
        <v>9.95</v>
      </c>
      <c r="C46">
        <v>4.56</v>
      </c>
      <c r="D46">
        <v>13.79</v>
      </c>
      <c r="E46">
        <v>33.51</v>
      </c>
      <c r="F46">
        <v>16.5842</v>
      </c>
      <c r="G46">
        <v>45.36</v>
      </c>
      <c r="H46">
        <v>44.93</v>
      </c>
      <c r="I46">
        <v>7</v>
      </c>
    </row>
    <row r="47" spans="1:9" ht="15">
      <c r="A47">
        <v>6</v>
      </c>
      <c r="B47">
        <v>10.09</v>
      </c>
      <c r="C47">
        <v>5.02</v>
      </c>
      <c r="D47">
        <v>14.08</v>
      </c>
      <c r="E47">
        <v>33.8</v>
      </c>
      <c r="F47">
        <v>17.1368</v>
      </c>
      <c r="G47">
        <v>46.13</v>
      </c>
      <c r="H47">
        <v>45.78</v>
      </c>
      <c r="I47">
        <v>6</v>
      </c>
    </row>
    <row r="48" spans="1:9" ht="15">
      <c r="A48">
        <v>5</v>
      </c>
      <c r="B48">
        <v>10.23</v>
      </c>
      <c r="C48">
        <v>5.07</v>
      </c>
      <c r="D48">
        <v>14.36</v>
      </c>
      <c r="E48">
        <v>34.08</v>
      </c>
      <c r="F48">
        <v>17.2895</v>
      </c>
      <c r="G48">
        <v>46.91</v>
      </c>
      <c r="H48">
        <v>46.62</v>
      </c>
      <c r="I48">
        <v>5</v>
      </c>
    </row>
    <row r="49" spans="1:9" ht="15">
      <c r="A49">
        <v>4</v>
      </c>
      <c r="B49">
        <v>10.37</v>
      </c>
      <c r="C49">
        <v>5.13</v>
      </c>
      <c r="D49">
        <v>14.65</v>
      </c>
      <c r="E49">
        <v>34.37</v>
      </c>
      <c r="F49">
        <v>17.4421</v>
      </c>
      <c r="G49">
        <v>47.68</v>
      </c>
      <c r="H49">
        <v>47.47</v>
      </c>
      <c r="I49">
        <v>4</v>
      </c>
    </row>
    <row r="50" spans="1:9" ht="15">
      <c r="A50">
        <v>3</v>
      </c>
      <c r="B50">
        <v>10.52</v>
      </c>
      <c r="C50">
        <v>5.19</v>
      </c>
      <c r="D50">
        <v>14.93</v>
      </c>
      <c r="E50">
        <v>34.65</v>
      </c>
      <c r="F50">
        <v>17.5947</v>
      </c>
      <c r="G50">
        <v>48.45</v>
      </c>
      <c r="H50">
        <v>48.31</v>
      </c>
      <c r="I50">
        <v>3</v>
      </c>
    </row>
    <row r="51" spans="1:9" ht="15">
      <c r="A51">
        <v>2</v>
      </c>
      <c r="B51">
        <v>10.66</v>
      </c>
      <c r="C51">
        <v>5.24</v>
      </c>
      <c r="D51">
        <v>15.22</v>
      </c>
      <c r="E51">
        <v>34.94</v>
      </c>
      <c r="F51">
        <v>18.1474</v>
      </c>
      <c r="G51">
        <v>49.23</v>
      </c>
      <c r="H51">
        <v>49.16</v>
      </c>
      <c r="I51">
        <v>2</v>
      </c>
    </row>
    <row r="52" spans="1:9" ht="15">
      <c r="A52">
        <v>1</v>
      </c>
      <c r="B52">
        <v>10.8</v>
      </c>
      <c r="C52">
        <v>5.3</v>
      </c>
      <c r="D52">
        <v>15.5</v>
      </c>
      <c r="E52">
        <v>35.22</v>
      </c>
      <c r="F52">
        <v>18.3</v>
      </c>
      <c r="G52">
        <v>50</v>
      </c>
      <c r="H52">
        <v>50</v>
      </c>
      <c r="I52">
        <v>1</v>
      </c>
    </row>
  </sheetData>
  <sheetProtection password="D2F3" sheet="1" objects="1" scenarios="1" selectLockedCell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K1">
      <selection activeCell="A1" sqref="A1:J1048576"/>
    </sheetView>
  </sheetViews>
  <sheetFormatPr defaultColWidth="11.421875" defaultRowHeight="15"/>
  <cols>
    <col min="1" max="10" width="11.421875" style="0" hidden="1" customWidth="1"/>
  </cols>
  <sheetData>
    <row r="1" spans="1:10" ht="15">
      <c r="A1" t="s">
        <v>22</v>
      </c>
      <c r="J1" t="s">
        <v>23</v>
      </c>
    </row>
    <row r="2" spans="1:10" ht="15">
      <c r="A2" t="s">
        <v>11</v>
      </c>
      <c r="B2" t="s">
        <v>15</v>
      </c>
      <c r="C2" t="s">
        <v>16</v>
      </c>
      <c r="D2" t="s">
        <v>17</v>
      </c>
      <c r="E2" t="s">
        <v>18</v>
      </c>
      <c r="F2" t="s">
        <v>26</v>
      </c>
      <c r="G2" t="s">
        <v>27</v>
      </c>
      <c r="H2" t="s">
        <v>28</v>
      </c>
      <c r="I2" t="s">
        <v>29</v>
      </c>
      <c r="J2" t="s">
        <v>11</v>
      </c>
    </row>
    <row r="3" spans="1:10" ht="15">
      <c r="A3">
        <v>1</v>
      </c>
      <c r="B3">
        <v>0.92</v>
      </c>
      <c r="C3">
        <v>1.2</v>
      </c>
      <c r="D3">
        <v>2.1</v>
      </c>
      <c r="E3">
        <v>5.2</v>
      </c>
      <c r="F3">
        <v>3.1</v>
      </c>
      <c r="G3">
        <v>6.4</v>
      </c>
      <c r="H3">
        <v>6</v>
      </c>
      <c r="I3">
        <v>6</v>
      </c>
      <c r="J3">
        <v>1</v>
      </c>
    </row>
    <row r="4" spans="1:10" ht="15">
      <c r="A4">
        <v>2</v>
      </c>
      <c r="B4">
        <v>0.93</v>
      </c>
      <c r="C4">
        <v>1.23</v>
      </c>
      <c r="D4">
        <v>2.18</v>
      </c>
      <c r="E4">
        <v>5.36</v>
      </c>
      <c r="F4">
        <v>3.26</v>
      </c>
      <c r="G4">
        <v>6.81</v>
      </c>
      <c r="H4">
        <v>6.48</v>
      </c>
      <c r="I4">
        <v>6.55</v>
      </c>
      <c r="J4">
        <v>2</v>
      </c>
    </row>
    <row r="5" spans="1:10" ht="15">
      <c r="A5">
        <v>3</v>
      </c>
      <c r="B5">
        <v>0.95</v>
      </c>
      <c r="C5">
        <v>1.26</v>
      </c>
      <c r="D5">
        <v>2.26</v>
      </c>
      <c r="E5">
        <v>5.52</v>
      </c>
      <c r="F5">
        <v>3.43</v>
      </c>
      <c r="G5">
        <v>7.22</v>
      </c>
      <c r="H5">
        <v>6.97</v>
      </c>
      <c r="I5">
        <v>7.09</v>
      </c>
      <c r="J5">
        <v>3</v>
      </c>
    </row>
    <row r="6" spans="1:10" ht="15">
      <c r="A6">
        <v>4</v>
      </c>
      <c r="B6">
        <v>0.96</v>
      </c>
      <c r="C6">
        <v>1.29</v>
      </c>
      <c r="D6">
        <v>2.34</v>
      </c>
      <c r="E6">
        <v>5.67</v>
      </c>
      <c r="F6">
        <v>3.59</v>
      </c>
      <c r="G6">
        <v>7.63</v>
      </c>
      <c r="H6">
        <v>7.45</v>
      </c>
      <c r="I6">
        <v>7.64</v>
      </c>
      <c r="J6">
        <v>4</v>
      </c>
    </row>
    <row r="7" spans="1:10" ht="15">
      <c r="A7">
        <v>5</v>
      </c>
      <c r="B7">
        <v>0.98</v>
      </c>
      <c r="C7">
        <v>1.33</v>
      </c>
      <c r="D7">
        <v>2.42</v>
      </c>
      <c r="E7">
        <v>5.83</v>
      </c>
      <c r="F7">
        <v>3.75</v>
      </c>
      <c r="G7">
        <v>8.04</v>
      </c>
      <c r="H7">
        <v>7.94</v>
      </c>
      <c r="I7">
        <v>8.19</v>
      </c>
      <c r="J7">
        <v>5</v>
      </c>
    </row>
    <row r="8" spans="1:10" ht="15">
      <c r="A8">
        <v>6</v>
      </c>
      <c r="B8">
        <v>0.99</v>
      </c>
      <c r="C8">
        <v>1.36</v>
      </c>
      <c r="D8">
        <v>2.49</v>
      </c>
      <c r="E8">
        <v>5.99</v>
      </c>
      <c r="F8">
        <v>3.92</v>
      </c>
      <c r="G8">
        <v>8.45</v>
      </c>
      <c r="H8">
        <v>8.42</v>
      </c>
      <c r="I8">
        <v>8.74</v>
      </c>
      <c r="J8">
        <v>6</v>
      </c>
    </row>
    <row r="9" spans="1:10" ht="15">
      <c r="A9">
        <v>7</v>
      </c>
      <c r="B9">
        <v>1.01</v>
      </c>
      <c r="C9">
        <v>1.39</v>
      </c>
      <c r="D9">
        <v>2.57</v>
      </c>
      <c r="E9">
        <v>6.15</v>
      </c>
      <c r="F9">
        <v>4.08</v>
      </c>
      <c r="G9">
        <v>8.86</v>
      </c>
      <c r="H9">
        <v>8.91</v>
      </c>
      <c r="I9">
        <v>9.28</v>
      </c>
      <c r="J9">
        <v>7</v>
      </c>
    </row>
    <row r="10" spans="1:10" ht="15">
      <c r="A10">
        <v>8</v>
      </c>
      <c r="B10">
        <v>1.02</v>
      </c>
      <c r="C10">
        <v>1.42</v>
      </c>
      <c r="D10">
        <v>2.65</v>
      </c>
      <c r="E10">
        <v>6.31</v>
      </c>
      <c r="F10">
        <v>4.24</v>
      </c>
      <c r="G10">
        <v>9.27</v>
      </c>
      <c r="H10">
        <v>9.39</v>
      </c>
      <c r="I10">
        <v>9.83</v>
      </c>
      <c r="J10">
        <v>8</v>
      </c>
    </row>
    <row r="11" spans="1:10" ht="15">
      <c r="A11">
        <v>9</v>
      </c>
      <c r="B11">
        <v>1.04</v>
      </c>
      <c r="C11">
        <v>1.45</v>
      </c>
      <c r="D11">
        <v>2.73</v>
      </c>
      <c r="E11">
        <v>6.46</v>
      </c>
      <c r="F11">
        <v>4.41</v>
      </c>
      <c r="G11">
        <v>9.68</v>
      </c>
      <c r="H11">
        <v>9.87</v>
      </c>
      <c r="I11">
        <v>10.38</v>
      </c>
      <c r="J11">
        <v>9</v>
      </c>
    </row>
    <row r="12" spans="1:10" ht="15">
      <c r="A12">
        <v>10</v>
      </c>
      <c r="B12">
        <v>1.05</v>
      </c>
      <c r="C12">
        <v>1.48</v>
      </c>
      <c r="D12">
        <v>2.81</v>
      </c>
      <c r="E12">
        <v>6.62</v>
      </c>
      <c r="F12">
        <v>4.57</v>
      </c>
      <c r="G12">
        <v>10.09</v>
      </c>
      <c r="H12">
        <v>10.36</v>
      </c>
      <c r="I12">
        <v>10.93</v>
      </c>
      <c r="J12">
        <v>10</v>
      </c>
    </row>
    <row r="13" spans="1:10" ht="15">
      <c r="A13">
        <v>11</v>
      </c>
      <c r="B13">
        <v>1.07</v>
      </c>
      <c r="C13">
        <v>1.52</v>
      </c>
      <c r="D13">
        <v>2.89</v>
      </c>
      <c r="E13">
        <v>6.78</v>
      </c>
      <c r="F13">
        <v>4.73</v>
      </c>
      <c r="G13">
        <v>10.51</v>
      </c>
      <c r="H13">
        <v>10.84</v>
      </c>
      <c r="I13">
        <v>11.47</v>
      </c>
      <c r="J13">
        <v>11</v>
      </c>
    </row>
    <row r="14" spans="1:10" ht="15">
      <c r="A14">
        <v>12</v>
      </c>
      <c r="B14">
        <v>1.08</v>
      </c>
      <c r="C14">
        <v>1.55</v>
      </c>
      <c r="D14">
        <v>2.97</v>
      </c>
      <c r="E14">
        <v>6.94</v>
      </c>
      <c r="F14">
        <v>4.89</v>
      </c>
      <c r="G14">
        <v>10.92</v>
      </c>
      <c r="H14">
        <v>11.33</v>
      </c>
      <c r="I14">
        <v>12.02</v>
      </c>
      <c r="J14">
        <v>12</v>
      </c>
    </row>
    <row r="15" spans="1:10" ht="15">
      <c r="A15">
        <v>13</v>
      </c>
      <c r="B15">
        <v>1.1</v>
      </c>
      <c r="C15">
        <v>1.58</v>
      </c>
      <c r="D15">
        <v>3.05</v>
      </c>
      <c r="E15">
        <v>7.09</v>
      </c>
      <c r="F15">
        <v>5.06</v>
      </c>
      <c r="G15">
        <v>11.33</v>
      </c>
      <c r="H15">
        <v>11.81</v>
      </c>
      <c r="I15">
        <v>12.57</v>
      </c>
      <c r="J15">
        <v>13</v>
      </c>
    </row>
    <row r="16" spans="1:10" ht="15">
      <c r="A16">
        <v>14</v>
      </c>
      <c r="B16">
        <v>1.11</v>
      </c>
      <c r="C16">
        <v>1.61</v>
      </c>
      <c r="D16">
        <v>3.13</v>
      </c>
      <c r="E16">
        <v>7.25</v>
      </c>
      <c r="F16">
        <v>5.22</v>
      </c>
      <c r="G16">
        <v>11.74</v>
      </c>
      <c r="H16">
        <v>12.29</v>
      </c>
      <c r="I16">
        <v>13.12</v>
      </c>
      <c r="J16">
        <v>14</v>
      </c>
    </row>
    <row r="17" spans="1:10" ht="15">
      <c r="A17">
        <v>15</v>
      </c>
      <c r="B17">
        <v>1.13</v>
      </c>
      <c r="C17">
        <v>1.64</v>
      </c>
      <c r="D17">
        <v>3.21</v>
      </c>
      <c r="E17">
        <v>7.41</v>
      </c>
      <c r="F17">
        <v>5.38</v>
      </c>
      <c r="G17">
        <v>12.15</v>
      </c>
      <c r="H17">
        <v>12.78</v>
      </c>
      <c r="I17">
        <v>13.66</v>
      </c>
      <c r="J17">
        <v>15</v>
      </c>
    </row>
    <row r="18" spans="1:10" ht="15">
      <c r="A18">
        <v>16</v>
      </c>
      <c r="B18">
        <v>1.14</v>
      </c>
      <c r="C18">
        <v>1.67</v>
      </c>
      <c r="D18">
        <v>3.28</v>
      </c>
      <c r="E18">
        <v>7.57</v>
      </c>
      <c r="F18">
        <v>5.55</v>
      </c>
      <c r="G18">
        <v>12.56</v>
      </c>
      <c r="H18">
        <v>13.26</v>
      </c>
      <c r="I18">
        <v>14.21</v>
      </c>
      <c r="J18">
        <v>16</v>
      </c>
    </row>
    <row r="19" spans="1:10" ht="15">
      <c r="A19">
        <v>17</v>
      </c>
      <c r="B19">
        <v>1.16</v>
      </c>
      <c r="C19">
        <v>1.71</v>
      </c>
      <c r="D19">
        <v>3.36</v>
      </c>
      <c r="E19">
        <v>7.73</v>
      </c>
      <c r="F19">
        <v>5.71</v>
      </c>
      <c r="G19">
        <v>12.97</v>
      </c>
      <c r="H19">
        <v>13.75</v>
      </c>
      <c r="I19">
        <v>14.76</v>
      </c>
      <c r="J19">
        <v>17</v>
      </c>
    </row>
    <row r="20" spans="1:10" ht="15">
      <c r="A20">
        <v>18</v>
      </c>
      <c r="B20">
        <v>1.17</v>
      </c>
      <c r="C20">
        <v>1.74</v>
      </c>
      <c r="D20">
        <v>3.44</v>
      </c>
      <c r="E20">
        <v>7.88</v>
      </c>
      <c r="F20">
        <v>5.87</v>
      </c>
      <c r="G20">
        <v>13.38</v>
      </c>
      <c r="H20">
        <v>14.23</v>
      </c>
      <c r="I20">
        <v>15.31</v>
      </c>
      <c r="J20">
        <v>18</v>
      </c>
    </row>
    <row r="21" spans="1:10" ht="15">
      <c r="A21">
        <v>19</v>
      </c>
      <c r="B21">
        <v>1.19</v>
      </c>
      <c r="C21">
        <v>1.77</v>
      </c>
      <c r="D21">
        <v>3.52</v>
      </c>
      <c r="E21">
        <v>8.04</v>
      </c>
      <c r="F21">
        <v>6.04</v>
      </c>
      <c r="G21">
        <v>13.79</v>
      </c>
      <c r="H21">
        <v>14.72</v>
      </c>
      <c r="I21">
        <v>15.85</v>
      </c>
      <c r="J21">
        <v>19</v>
      </c>
    </row>
    <row r="22" spans="1:10" ht="15">
      <c r="A22">
        <v>20</v>
      </c>
      <c r="B22">
        <v>1.2</v>
      </c>
      <c r="C22">
        <v>1.8</v>
      </c>
      <c r="D22">
        <v>3.6</v>
      </c>
      <c r="E22">
        <v>8.2</v>
      </c>
      <c r="F22">
        <v>6.2</v>
      </c>
      <c r="G22">
        <v>14.2</v>
      </c>
      <c r="H22">
        <v>15.2</v>
      </c>
      <c r="I22">
        <v>16.4</v>
      </c>
      <c r="J22">
        <v>20</v>
      </c>
    </row>
    <row r="23" spans="1:10" ht="15">
      <c r="A23">
        <v>21</v>
      </c>
      <c r="B23">
        <v>1.22</v>
      </c>
      <c r="C23">
        <v>1.85</v>
      </c>
      <c r="D23">
        <v>3.68</v>
      </c>
      <c r="E23">
        <v>8.34</v>
      </c>
      <c r="F23">
        <v>6.49</v>
      </c>
      <c r="G23">
        <v>15.01</v>
      </c>
      <c r="H23">
        <v>16.39</v>
      </c>
      <c r="I23">
        <v>17.39</v>
      </c>
      <c r="J23">
        <v>21</v>
      </c>
    </row>
    <row r="24" spans="1:10" ht="15">
      <c r="A24">
        <v>22</v>
      </c>
      <c r="B24">
        <v>1.24</v>
      </c>
      <c r="C24">
        <v>1.9</v>
      </c>
      <c r="D24">
        <v>3.77</v>
      </c>
      <c r="E24">
        <v>8.48</v>
      </c>
      <c r="F24">
        <v>6.77</v>
      </c>
      <c r="G24">
        <v>15.82</v>
      </c>
      <c r="H24">
        <v>17.58</v>
      </c>
      <c r="I24">
        <v>18.38</v>
      </c>
      <c r="J24">
        <v>22</v>
      </c>
    </row>
    <row r="25" spans="1:10" ht="15">
      <c r="A25">
        <v>23</v>
      </c>
      <c r="B25">
        <v>1.26</v>
      </c>
      <c r="C25">
        <v>1.94</v>
      </c>
      <c r="D25">
        <v>3.85</v>
      </c>
      <c r="E25">
        <v>8.62</v>
      </c>
      <c r="F25">
        <v>7.06</v>
      </c>
      <c r="G25">
        <v>16.63</v>
      </c>
      <c r="H25">
        <v>18.76</v>
      </c>
      <c r="I25">
        <v>19.38</v>
      </c>
      <c r="J25">
        <v>23</v>
      </c>
    </row>
    <row r="26" spans="1:10" ht="15">
      <c r="A26">
        <v>24</v>
      </c>
      <c r="B26">
        <v>1.27</v>
      </c>
      <c r="C26">
        <v>1.99</v>
      </c>
      <c r="D26">
        <v>3.94</v>
      </c>
      <c r="E26">
        <v>8.75</v>
      </c>
      <c r="F26">
        <v>7.35</v>
      </c>
      <c r="G26">
        <v>17.44</v>
      </c>
      <c r="H26">
        <v>19.95</v>
      </c>
      <c r="I26">
        <v>20.37</v>
      </c>
      <c r="J26">
        <v>24</v>
      </c>
    </row>
    <row r="27" spans="1:10" ht="15">
      <c r="A27">
        <v>25</v>
      </c>
      <c r="B27">
        <v>1.29</v>
      </c>
      <c r="C27">
        <v>2.04</v>
      </c>
      <c r="D27">
        <v>4.02</v>
      </c>
      <c r="E27">
        <v>8.89</v>
      </c>
      <c r="F27">
        <v>7.63</v>
      </c>
      <c r="G27">
        <v>18.25</v>
      </c>
      <c r="H27">
        <v>21.14</v>
      </c>
      <c r="I27">
        <v>21.36</v>
      </c>
      <c r="J27">
        <v>25</v>
      </c>
    </row>
    <row r="28" spans="1:10" ht="15">
      <c r="A28">
        <v>26</v>
      </c>
      <c r="B28">
        <v>1.31</v>
      </c>
      <c r="C28">
        <v>2.09</v>
      </c>
      <c r="D28">
        <v>4.11</v>
      </c>
      <c r="E28">
        <v>9.03</v>
      </c>
      <c r="F28">
        <v>7.92</v>
      </c>
      <c r="G28">
        <v>19.06</v>
      </c>
      <c r="H28">
        <v>22.33</v>
      </c>
      <c r="I28">
        <v>22.35</v>
      </c>
      <c r="J28">
        <v>26</v>
      </c>
    </row>
    <row r="29" spans="1:10" ht="15">
      <c r="A29">
        <v>27</v>
      </c>
      <c r="B29">
        <v>1.33</v>
      </c>
      <c r="C29">
        <v>2.14</v>
      </c>
      <c r="D29">
        <v>4.19</v>
      </c>
      <c r="E29">
        <v>9.17</v>
      </c>
      <c r="F29">
        <v>8.21</v>
      </c>
      <c r="G29">
        <v>19.88</v>
      </c>
      <c r="H29">
        <v>23.52</v>
      </c>
      <c r="I29">
        <v>23.34</v>
      </c>
      <c r="J29">
        <v>27</v>
      </c>
    </row>
    <row r="30" spans="1:10" ht="15">
      <c r="A30">
        <v>28</v>
      </c>
      <c r="B30">
        <v>1.35</v>
      </c>
      <c r="C30">
        <v>2.18</v>
      </c>
      <c r="D30">
        <v>4.28</v>
      </c>
      <c r="E30">
        <v>9.31</v>
      </c>
      <c r="F30">
        <v>8.49</v>
      </c>
      <c r="G30">
        <v>20.69</v>
      </c>
      <c r="H30">
        <v>24.7</v>
      </c>
      <c r="I30">
        <v>24.34</v>
      </c>
      <c r="J30">
        <v>28</v>
      </c>
    </row>
    <row r="31" spans="1:10" ht="15">
      <c r="A31">
        <v>29</v>
      </c>
      <c r="B31">
        <v>1.37</v>
      </c>
      <c r="C31">
        <v>2.23</v>
      </c>
      <c r="D31">
        <v>4.36</v>
      </c>
      <c r="E31">
        <v>9.45</v>
      </c>
      <c r="F31">
        <v>8.78</v>
      </c>
      <c r="G31">
        <v>21.5</v>
      </c>
      <c r="H31">
        <v>25.89</v>
      </c>
      <c r="I31">
        <v>25.33</v>
      </c>
      <c r="J31">
        <v>29</v>
      </c>
    </row>
    <row r="32" spans="1:10" ht="15">
      <c r="A32">
        <v>30</v>
      </c>
      <c r="B32">
        <v>1.38</v>
      </c>
      <c r="C32">
        <v>2.28</v>
      </c>
      <c r="D32">
        <v>4.44</v>
      </c>
      <c r="E32">
        <v>9.58</v>
      </c>
      <c r="F32">
        <v>9.07</v>
      </c>
      <c r="G32">
        <v>22.31</v>
      </c>
      <c r="H32">
        <v>27.08</v>
      </c>
      <c r="I32">
        <v>26.32</v>
      </c>
      <c r="J32">
        <v>30</v>
      </c>
    </row>
    <row r="33" spans="1:10" ht="15">
      <c r="A33">
        <v>31</v>
      </c>
      <c r="B33">
        <v>1.4</v>
      </c>
      <c r="C33">
        <v>2.33</v>
      </c>
      <c r="D33">
        <v>4.53</v>
      </c>
      <c r="E33">
        <v>9.72</v>
      </c>
      <c r="F33">
        <v>9.35</v>
      </c>
      <c r="G33">
        <v>23.12</v>
      </c>
      <c r="H33">
        <v>28.27</v>
      </c>
      <c r="I33">
        <v>27.31</v>
      </c>
      <c r="J33">
        <v>31</v>
      </c>
    </row>
    <row r="34" spans="1:10" ht="15">
      <c r="A34">
        <v>32</v>
      </c>
      <c r="B34">
        <v>1.42</v>
      </c>
      <c r="C34">
        <v>2.38</v>
      </c>
      <c r="D34">
        <v>4.61</v>
      </c>
      <c r="E34">
        <v>9.86</v>
      </c>
      <c r="F34">
        <v>9.64</v>
      </c>
      <c r="G34">
        <v>23.93</v>
      </c>
      <c r="H34">
        <v>29.46</v>
      </c>
      <c r="I34">
        <v>28.3</v>
      </c>
      <c r="J34">
        <v>32</v>
      </c>
    </row>
    <row r="35" spans="1:10" ht="15">
      <c r="A35">
        <v>33</v>
      </c>
      <c r="B35">
        <v>1.44</v>
      </c>
      <c r="C35">
        <v>2.42</v>
      </c>
      <c r="D35">
        <v>4.7</v>
      </c>
      <c r="E35">
        <v>10</v>
      </c>
      <c r="F35">
        <v>9.93</v>
      </c>
      <c r="G35">
        <v>24.74</v>
      </c>
      <c r="H35">
        <v>30.64</v>
      </c>
      <c r="I35">
        <v>29.3</v>
      </c>
      <c r="J35">
        <v>33</v>
      </c>
    </row>
    <row r="36" spans="1:10" ht="15">
      <c r="A36">
        <v>34</v>
      </c>
      <c r="B36">
        <v>1.46</v>
      </c>
      <c r="C36">
        <v>2.47</v>
      </c>
      <c r="D36">
        <v>4.78</v>
      </c>
      <c r="E36">
        <v>10.14</v>
      </c>
      <c r="F36">
        <v>10.22</v>
      </c>
      <c r="G36">
        <v>25.55</v>
      </c>
      <c r="H36">
        <v>31.83</v>
      </c>
      <c r="I36">
        <v>30.29</v>
      </c>
      <c r="J36">
        <v>34</v>
      </c>
    </row>
    <row r="37" spans="1:10" ht="15">
      <c r="A37">
        <v>35</v>
      </c>
      <c r="B37">
        <v>1.48</v>
      </c>
      <c r="C37">
        <v>2.52</v>
      </c>
      <c r="D37">
        <v>4.87</v>
      </c>
      <c r="E37">
        <v>10.28</v>
      </c>
      <c r="F37">
        <v>10.5</v>
      </c>
      <c r="G37">
        <v>26.36</v>
      </c>
      <c r="H37">
        <v>33.02</v>
      </c>
      <c r="I37">
        <v>31.28</v>
      </c>
      <c r="J37">
        <v>35</v>
      </c>
    </row>
    <row r="38" spans="1:10" ht="15">
      <c r="A38">
        <v>36</v>
      </c>
      <c r="B38">
        <v>1.49</v>
      </c>
      <c r="C38">
        <v>2.57</v>
      </c>
      <c r="D38">
        <v>4.95</v>
      </c>
      <c r="E38">
        <v>10.41</v>
      </c>
      <c r="F38">
        <v>10.79</v>
      </c>
      <c r="G38">
        <v>27.17</v>
      </c>
      <c r="H38">
        <v>34.21</v>
      </c>
      <c r="I38">
        <v>32.27</v>
      </c>
      <c r="J38">
        <v>36</v>
      </c>
    </row>
    <row r="39" spans="1:10" ht="15">
      <c r="A39">
        <v>37</v>
      </c>
      <c r="B39">
        <v>1.51</v>
      </c>
      <c r="C39">
        <v>2.62</v>
      </c>
      <c r="D39">
        <v>5.03</v>
      </c>
      <c r="E39">
        <v>10.55</v>
      </c>
      <c r="F39">
        <v>11.08</v>
      </c>
      <c r="G39">
        <v>27.98</v>
      </c>
      <c r="H39">
        <v>35.4</v>
      </c>
      <c r="I39">
        <v>33.26</v>
      </c>
      <c r="J39">
        <v>37</v>
      </c>
    </row>
    <row r="40" spans="1:10" ht="15">
      <c r="A40">
        <v>38</v>
      </c>
      <c r="B40">
        <v>1.53</v>
      </c>
      <c r="C40">
        <v>2.66</v>
      </c>
      <c r="D40">
        <v>5.12</v>
      </c>
      <c r="E40">
        <v>10.69</v>
      </c>
      <c r="F40">
        <v>11.36</v>
      </c>
      <c r="G40">
        <v>28.79</v>
      </c>
      <c r="H40">
        <v>36.58</v>
      </c>
      <c r="I40">
        <v>34.26</v>
      </c>
      <c r="J40">
        <v>38</v>
      </c>
    </row>
    <row r="41" spans="1:10" ht="15">
      <c r="A41">
        <v>39</v>
      </c>
      <c r="B41">
        <v>1.55</v>
      </c>
      <c r="C41">
        <v>2.71</v>
      </c>
      <c r="D41">
        <v>5.2</v>
      </c>
      <c r="E41">
        <v>10.83</v>
      </c>
      <c r="F41">
        <v>11.65</v>
      </c>
      <c r="G41">
        <v>29.61</v>
      </c>
      <c r="H41">
        <v>37.77</v>
      </c>
      <c r="I41">
        <v>35.25</v>
      </c>
      <c r="J41">
        <v>39</v>
      </c>
    </row>
    <row r="42" spans="1:10" ht="15">
      <c r="A42">
        <v>40</v>
      </c>
      <c r="B42">
        <v>1.57</v>
      </c>
      <c r="C42">
        <v>2.76</v>
      </c>
      <c r="D42">
        <v>5.29</v>
      </c>
      <c r="E42">
        <v>10.97</v>
      </c>
      <c r="F42">
        <v>11.94</v>
      </c>
      <c r="G42">
        <v>30.42</v>
      </c>
      <c r="H42">
        <v>38.96</v>
      </c>
      <c r="I42">
        <v>36.24</v>
      </c>
      <c r="J42">
        <v>40</v>
      </c>
    </row>
    <row r="43" spans="1:10" ht="15">
      <c r="A43">
        <v>41</v>
      </c>
      <c r="B43">
        <v>1.59</v>
      </c>
      <c r="C43">
        <v>2.81</v>
      </c>
      <c r="D43">
        <v>5.37</v>
      </c>
      <c r="E43">
        <v>11.11</v>
      </c>
      <c r="F43">
        <v>12.22</v>
      </c>
      <c r="G43">
        <v>31.23</v>
      </c>
      <c r="H43">
        <v>40.15</v>
      </c>
      <c r="I43">
        <v>37.23</v>
      </c>
      <c r="J43">
        <v>41</v>
      </c>
    </row>
    <row r="44" spans="1:10" ht="15">
      <c r="A44">
        <v>42</v>
      </c>
      <c r="B44">
        <v>1.6</v>
      </c>
      <c r="C44">
        <v>2.86</v>
      </c>
      <c r="D44">
        <v>5.46</v>
      </c>
      <c r="E44">
        <v>11.24</v>
      </c>
      <c r="F44">
        <v>12.51</v>
      </c>
      <c r="G44">
        <v>32.04</v>
      </c>
      <c r="H44">
        <v>41.34</v>
      </c>
      <c r="I44">
        <v>38.22</v>
      </c>
      <c r="J44">
        <v>42</v>
      </c>
    </row>
    <row r="45" spans="1:10" ht="15">
      <c r="A45">
        <v>43</v>
      </c>
      <c r="B45">
        <v>1.62</v>
      </c>
      <c r="C45">
        <v>2.9</v>
      </c>
      <c r="D45">
        <v>5.54</v>
      </c>
      <c r="E45">
        <v>11.38</v>
      </c>
      <c r="F45">
        <v>12.8</v>
      </c>
      <c r="G45">
        <v>32.85</v>
      </c>
      <c r="H45">
        <v>42.52</v>
      </c>
      <c r="I45">
        <v>39.22</v>
      </c>
      <c r="J45">
        <v>43</v>
      </c>
    </row>
    <row r="46" spans="1:10" ht="15">
      <c r="A46">
        <v>44</v>
      </c>
      <c r="B46">
        <v>1.64</v>
      </c>
      <c r="C46">
        <v>2.95</v>
      </c>
      <c r="D46">
        <v>5.63</v>
      </c>
      <c r="E46">
        <v>11.52</v>
      </c>
      <c r="F46">
        <v>13.08</v>
      </c>
      <c r="G46">
        <v>33.66</v>
      </c>
      <c r="H46">
        <v>43.71</v>
      </c>
      <c r="I46">
        <v>40.21</v>
      </c>
      <c r="J46">
        <v>44</v>
      </c>
    </row>
    <row r="47" spans="1:10" ht="15">
      <c r="A47">
        <v>45</v>
      </c>
      <c r="B47">
        <v>1.66</v>
      </c>
      <c r="C47">
        <v>3</v>
      </c>
      <c r="D47">
        <v>5.71</v>
      </c>
      <c r="E47">
        <v>11.66</v>
      </c>
      <c r="F47">
        <v>13.37</v>
      </c>
      <c r="G47">
        <v>34.47</v>
      </c>
      <c r="H47">
        <v>44.9</v>
      </c>
      <c r="I47">
        <v>41.2</v>
      </c>
      <c r="J47">
        <v>45</v>
      </c>
    </row>
    <row r="48" spans="1:10" ht="15">
      <c r="A48">
        <v>46</v>
      </c>
      <c r="B48">
        <v>1.7</v>
      </c>
      <c r="C48">
        <v>3.26</v>
      </c>
      <c r="D48">
        <v>5.87</v>
      </c>
      <c r="E48">
        <v>12.07</v>
      </c>
      <c r="F48">
        <v>14.08</v>
      </c>
      <c r="G48">
        <v>37.43</v>
      </c>
      <c r="H48">
        <v>48.08</v>
      </c>
      <c r="I48">
        <v>44.08</v>
      </c>
      <c r="J48">
        <v>46</v>
      </c>
    </row>
    <row r="49" spans="1:10" ht="15">
      <c r="A49">
        <v>47</v>
      </c>
      <c r="B49">
        <v>1.75</v>
      </c>
      <c r="C49">
        <v>3.52</v>
      </c>
      <c r="D49">
        <v>6.04</v>
      </c>
      <c r="E49">
        <v>12.48</v>
      </c>
      <c r="F49">
        <v>14.78</v>
      </c>
      <c r="G49">
        <v>40.39</v>
      </c>
      <c r="H49">
        <v>51.27</v>
      </c>
      <c r="I49">
        <v>46.95</v>
      </c>
      <c r="J49">
        <v>47</v>
      </c>
    </row>
    <row r="50" spans="1:10" ht="15">
      <c r="A50">
        <v>48</v>
      </c>
      <c r="B50">
        <v>1.79</v>
      </c>
      <c r="C50">
        <v>3.78</v>
      </c>
      <c r="D50">
        <v>6.2</v>
      </c>
      <c r="E50">
        <v>12.89</v>
      </c>
      <c r="F50">
        <v>15.49</v>
      </c>
      <c r="G50">
        <v>43.35</v>
      </c>
      <c r="H50">
        <v>54.45</v>
      </c>
      <c r="I50">
        <v>49.83</v>
      </c>
      <c r="J50">
        <v>48</v>
      </c>
    </row>
    <row r="51" spans="1:10" ht="15">
      <c r="A51">
        <v>49</v>
      </c>
      <c r="B51">
        <v>1.84</v>
      </c>
      <c r="C51">
        <v>4.04</v>
      </c>
      <c r="D51">
        <v>6.37</v>
      </c>
      <c r="E51">
        <v>13.3</v>
      </c>
      <c r="F51">
        <v>16.19</v>
      </c>
      <c r="G51">
        <v>46.31</v>
      </c>
      <c r="H51">
        <v>57.64</v>
      </c>
      <c r="I51">
        <v>52.7</v>
      </c>
      <c r="J51">
        <v>49</v>
      </c>
    </row>
    <row r="52" spans="1:10" ht="15">
      <c r="A52">
        <v>50</v>
      </c>
      <c r="B52">
        <v>1.88</v>
      </c>
      <c r="C52">
        <v>4.3</v>
      </c>
      <c r="D52">
        <v>6.53</v>
      </c>
      <c r="E52">
        <v>13.71</v>
      </c>
      <c r="F52">
        <v>16.9</v>
      </c>
      <c r="G52">
        <v>49.27</v>
      </c>
      <c r="H52">
        <v>60.82</v>
      </c>
      <c r="I52">
        <v>55.58</v>
      </c>
      <c r="J52">
        <v>50</v>
      </c>
    </row>
  </sheetData>
  <sheetProtection password="D2F3" sheet="1" objects="1" scenarios="1" selectLockedCells="1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N1">
      <selection activeCell="A1" sqref="A1:M1048576"/>
    </sheetView>
  </sheetViews>
  <sheetFormatPr defaultColWidth="11.421875" defaultRowHeight="15"/>
  <cols>
    <col min="1" max="13" width="11.421875" style="0" hidden="1" customWidth="1"/>
  </cols>
  <sheetData>
    <row r="1" spans="1:2" ht="15">
      <c r="A1" t="s">
        <v>32</v>
      </c>
      <c r="B1" t="s">
        <v>9</v>
      </c>
    </row>
    <row r="2" spans="1:13" ht="29.45" customHeight="1">
      <c r="A2" s="1" t="s">
        <v>11</v>
      </c>
      <c r="B2" s="1" t="s">
        <v>33</v>
      </c>
      <c r="C2" s="1" t="s">
        <v>34</v>
      </c>
      <c r="D2" s="1" t="s">
        <v>35</v>
      </c>
      <c r="E2" s="1" t="s">
        <v>24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42</v>
      </c>
      <c r="K2" s="1" t="s">
        <v>20</v>
      </c>
      <c r="L2" s="1" t="s">
        <v>43</v>
      </c>
      <c r="M2" s="1" t="s">
        <v>11</v>
      </c>
    </row>
    <row r="3" spans="1:13" ht="15">
      <c r="A3">
        <v>50</v>
      </c>
      <c r="B3">
        <v>6.42</v>
      </c>
      <c r="C3">
        <v>9.71</v>
      </c>
      <c r="D3">
        <v>14.3</v>
      </c>
      <c r="E3">
        <v>2.5065</v>
      </c>
      <c r="F3">
        <v>6.181</v>
      </c>
      <c r="G3">
        <v>7.35</v>
      </c>
      <c r="H3">
        <v>11.19</v>
      </c>
      <c r="I3">
        <v>27.77</v>
      </c>
      <c r="J3">
        <v>14.3673</v>
      </c>
      <c r="K3">
        <v>29.62</v>
      </c>
      <c r="L3">
        <v>28.5</v>
      </c>
      <c r="M3">
        <v>50</v>
      </c>
    </row>
    <row r="4" spans="1:13" ht="15">
      <c r="A4">
        <v>49</v>
      </c>
      <c r="B4">
        <v>6.47</v>
      </c>
      <c r="C4">
        <v>9.75</v>
      </c>
      <c r="D4">
        <v>14.39</v>
      </c>
      <c r="E4">
        <v>2.5232</v>
      </c>
      <c r="F4">
        <v>6.2528</v>
      </c>
      <c r="G4">
        <v>7.43</v>
      </c>
      <c r="H4">
        <v>11.31</v>
      </c>
      <c r="I4">
        <v>28.22</v>
      </c>
      <c r="J4">
        <v>14.5978</v>
      </c>
      <c r="K4">
        <v>29.76</v>
      </c>
      <c r="L4">
        <v>28.54</v>
      </c>
      <c r="M4">
        <v>49</v>
      </c>
    </row>
    <row r="5" spans="1:13" ht="15">
      <c r="A5">
        <v>48</v>
      </c>
      <c r="B5">
        <v>6.52</v>
      </c>
      <c r="C5">
        <v>9.79</v>
      </c>
      <c r="D5">
        <v>14.47</v>
      </c>
      <c r="E5">
        <v>2.5399</v>
      </c>
      <c r="F5">
        <v>6.3246</v>
      </c>
      <c r="G5">
        <v>7.51</v>
      </c>
      <c r="H5">
        <v>11.42</v>
      </c>
      <c r="I5">
        <v>28.66</v>
      </c>
      <c r="J5">
        <v>15.2284</v>
      </c>
      <c r="K5">
        <v>29.89</v>
      </c>
      <c r="L5">
        <v>28.58</v>
      </c>
      <c r="M5">
        <v>48</v>
      </c>
    </row>
    <row r="6" spans="1:13" ht="15">
      <c r="A6">
        <v>47</v>
      </c>
      <c r="B6">
        <v>6.57</v>
      </c>
      <c r="C6">
        <v>9.83</v>
      </c>
      <c r="D6">
        <v>14.55</v>
      </c>
      <c r="E6">
        <v>2.5566</v>
      </c>
      <c r="F6">
        <v>6.3964</v>
      </c>
      <c r="G6">
        <v>7.59</v>
      </c>
      <c r="H6">
        <v>11.54</v>
      </c>
      <c r="I6">
        <v>29.11</v>
      </c>
      <c r="J6">
        <v>15.4589</v>
      </c>
      <c r="K6">
        <v>30.03</v>
      </c>
      <c r="L6">
        <v>28.63</v>
      </c>
      <c r="M6">
        <v>47</v>
      </c>
    </row>
    <row r="7" spans="1:13" ht="15">
      <c r="A7">
        <v>46</v>
      </c>
      <c r="B7">
        <v>6.62</v>
      </c>
      <c r="C7">
        <v>9.87</v>
      </c>
      <c r="D7">
        <v>14.64</v>
      </c>
      <c r="E7">
        <v>2.5733</v>
      </c>
      <c r="F7">
        <v>6.4682</v>
      </c>
      <c r="G7">
        <v>7.67</v>
      </c>
      <c r="H7">
        <v>11.65</v>
      </c>
      <c r="I7">
        <v>29.55</v>
      </c>
      <c r="J7">
        <v>16.0895</v>
      </c>
      <c r="K7">
        <v>30.16</v>
      </c>
      <c r="L7">
        <v>28.67</v>
      </c>
      <c r="M7">
        <v>46</v>
      </c>
    </row>
    <row r="8" spans="1:13" ht="15">
      <c r="A8">
        <v>45</v>
      </c>
      <c r="B8">
        <v>6.67</v>
      </c>
      <c r="C8">
        <v>9.91</v>
      </c>
      <c r="D8">
        <v>14.73</v>
      </c>
      <c r="E8">
        <v>2.59</v>
      </c>
      <c r="F8">
        <v>6.54</v>
      </c>
      <c r="G8">
        <v>7.75</v>
      </c>
      <c r="H8">
        <v>11.77</v>
      </c>
      <c r="I8">
        <v>30</v>
      </c>
      <c r="J8">
        <v>16.32</v>
      </c>
      <c r="K8">
        <v>30.3</v>
      </c>
      <c r="L8">
        <v>28.71</v>
      </c>
      <c r="M8">
        <v>45</v>
      </c>
    </row>
    <row r="9" spans="1:13" ht="15">
      <c r="A9">
        <v>44</v>
      </c>
      <c r="B9">
        <v>6.72</v>
      </c>
      <c r="C9">
        <v>9.98</v>
      </c>
      <c r="D9">
        <v>14.83</v>
      </c>
      <c r="E9">
        <v>3.0092</v>
      </c>
      <c r="F9">
        <v>7.0144</v>
      </c>
      <c r="G9">
        <v>7.83</v>
      </c>
      <c r="H9">
        <v>11.91</v>
      </c>
      <c r="I9">
        <v>30.24</v>
      </c>
      <c r="J9">
        <v>16.5392</v>
      </c>
      <c r="K9">
        <v>30.43</v>
      </c>
      <c r="L9">
        <v>28.84</v>
      </c>
      <c r="M9">
        <v>44</v>
      </c>
    </row>
    <row r="10" spans="1:13" ht="15">
      <c r="A10">
        <v>43</v>
      </c>
      <c r="B10">
        <v>6.77</v>
      </c>
      <c r="C10">
        <v>10.05</v>
      </c>
      <c r="D10">
        <v>14.93</v>
      </c>
      <c r="E10">
        <v>3.0284</v>
      </c>
      <c r="F10">
        <v>7.0888</v>
      </c>
      <c r="G10">
        <v>7.91</v>
      </c>
      <c r="H10">
        <v>12.04</v>
      </c>
      <c r="I10">
        <v>30.49</v>
      </c>
      <c r="J10">
        <v>17.1584</v>
      </c>
      <c r="K10">
        <v>30.56</v>
      </c>
      <c r="L10">
        <v>28.97</v>
      </c>
      <c r="M10">
        <v>43</v>
      </c>
    </row>
    <row r="11" spans="1:13" ht="15">
      <c r="A11">
        <v>42</v>
      </c>
      <c r="B11">
        <v>6.82</v>
      </c>
      <c r="C11">
        <v>10.12</v>
      </c>
      <c r="D11">
        <v>15.03</v>
      </c>
      <c r="E11">
        <v>3.0476</v>
      </c>
      <c r="F11">
        <v>7.1632</v>
      </c>
      <c r="G11">
        <v>7.98</v>
      </c>
      <c r="H11">
        <v>12.18</v>
      </c>
      <c r="I11">
        <v>30.73</v>
      </c>
      <c r="J11">
        <v>17.3776</v>
      </c>
      <c r="K11">
        <v>30.68</v>
      </c>
      <c r="L11">
        <v>29.1</v>
      </c>
      <c r="M11">
        <v>42</v>
      </c>
    </row>
    <row r="12" spans="1:13" ht="15">
      <c r="A12">
        <v>41</v>
      </c>
      <c r="B12">
        <v>6.87</v>
      </c>
      <c r="C12">
        <v>10.19</v>
      </c>
      <c r="D12">
        <v>15.13</v>
      </c>
      <c r="E12">
        <v>3.0668</v>
      </c>
      <c r="F12">
        <v>7.2376</v>
      </c>
      <c r="G12">
        <v>8.06</v>
      </c>
      <c r="H12">
        <v>12.32</v>
      </c>
      <c r="I12">
        <v>30.98</v>
      </c>
      <c r="J12">
        <v>17.5968</v>
      </c>
      <c r="K12">
        <v>30.81</v>
      </c>
      <c r="L12">
        <v>29.23</v>
      </c>
      <c r="M12">
        <v>41</v>
      </c>
    </row>
    <row r="13" spans="1:13" ht="15">
      <c r="A13">
        <v>40</v>
      </c>
      <c r="B13">
        <v>6.92</v>
      </c>
      <c r="C13">
        <v>10.26</v>
      </c>
      <c r="D13">
        <v>15.23</v>
      </c>
      <c r="E13">
        <v>3.086</v>
      </c>
      <c r="F13">
        <v>7.312</v>
      </c>
      <c r="G13">
        <v>8.14</v>
      </c>
      <c r="H13">
        <v>12.46</v>
      </c>
      <c r="I13">
        <v>31.22</v>
      </c>
      <c r="J13">
        <v>18.216</v>
      </c>
      <c r="K13">
        <v>30.94</v>
      </c>
      <c r="L13">
        <v>29.35</v>
      </c>
      <c r="M13">
        <v>40</v>
      </c>
    </row>
    <row r="14" spans="1:13" ht="15">
      <c r="A14">
        <v>39</v>
      </c>
      <c r="B14">
        <v>6.97</v>
      </c>
      <c r="C14">
        <v>10.33</v>
      </c>
      <c r="D14">
        <v>15.34</v>
      </c>
      <c r="E14">
        <v>3.1052</v>
      </c>
      <c r="F14">
        <v>7.3864</v>
      </c>
      <c r="G14">
        <v>8.22</v>
      </c>
      <c r="H14">
        <v>12.59</v>
      </c>
      <c r="I14">
        <v>31.46</v>
      </c>
      <c r="J14">
        <v>18.4352</v>
      </c>
      <c r="K14">
        <v>31.07</v>
      </c>
      <c r="L14">
        <v>29.48</v>
      </c>
      <c r="M14">
        <v>39</v>
      </c>
    </row>
    <row r="15" spans="1:13" ht="15">
      <c r="A15">
        <v>38</v>
      </c>
      <c r="B15">
        <v>7.01</v>
      </c>
      <c r="C15">
        <v>10.4</v>
      </c>
      <c r="D15">
        <v>15.47</v>
      </c>
      <c r="E15">
        <v>3.1244</v>
      </c>
      <c r="F15">
        <v>7.4608</v>
      </c>
      <c r="G15">
        <v>8.3</v>
      </c>
      <c r="H15">
        <v>12.73</v>
      </c>
      <c r="I15">
        <v>31.71</v>
      </c>
      <c r="J15">
        <v>19.0544</v>
      </c>
      <c r="K15">
        <v>31.2</v>
      </c>
      <c r="L15">
        <v>29.61</v>
      </c>
      <c r="M15">
        <v>38</v>
      </c>
    </row>
    <row r="16" spans="1:13" ht="15">
      <c r="A16">
        <v>37</v>
      </c>
      <c r="B16">
        <v>7.06</v>
      </c>
      <c r="C16">
        <v>10.47</v>
      </c>
      <c r="D16">
        <v>15.6</v>
      </c>
      <c r="E16">
        <v>3.1436</v>
      </c>
      <c r="F16">
        <v>7.5352</v>
      </c>
      <c r="G16">
        <v>8.37</v>
      </c>
      <c r="H16">
        <v>12.87</v>
      </c>
      <c r="I16">
        <v>31.95</v>
      </c>
      <c r="J16">
        <v>19.2736</v>
      </c>
      <c r="K16">
        <v>31.32</v>
      </c>
      <c r="L16">
        <v>29.74</v>
      </c>
      <c r="M16">
        <v>37</v>
      </c>
    </row>
    <row r="17" spans="1:13" ht="15">
      <c r="A17">
        <v>36</v>
      </c>
      <c r="B17">
        <v>7.11</v>
      </c>
      <c r="C17">
        <v>10.54</v>
      </c>
      <c r="D17">
        <v>15.73</v>
      </c>
      <c r="E17">
        <v>3.1628</v>
      </c>
      <c r="F17">
        <v>8.0096</v>
      </c>
      <c r="G17">
        <v>8.45</v>
      </c>
      <c r="H17">
        <v>13</v>
      </c>
      <c r="I17">
        <v>32.2</v>
      </c>
      <c r="J17">
        <v>19.4928</v>
      </c>
      <c r="K17">
        <v>31.45</v>
      </c>
      <c r="L17">
        <v>29.87</v>
      </c>
      <c r="M17">
        <v>36</v>
      </c>
    </row>
    <row r="18" spans="1:13" ht="15">
      <c r="A18">
        <v>35</v>
      </c>
      <c r="B18">
        <v>7.16</v>
      </c>
      <c r="C18">
        <v>10.61</v>
      </c>
      <c r="D18">
        <v>15.86</v>
      </c>
      <c r="E18">
        <v>3.182</v>
      </c>
      <c r="F18">
        <v>8.084</v>
      </c>
      <c r="G18">
        <v>8.53</v>
      </c>
      <c r="H18">
        <v>13.14</v>
      </c>
      <c r="I18">
        <v>32.44</v>
      </c>
      <c r="J18">
        <v>20.112</v>
      </c>
      <c r="K18">
        <v>31.58</v>
      </c>
      <c r="L18">
        <v>30</v>
      </c>
      <c r="M18">
        <v>35</v>
      </c>
    </row>
    <row r="19" spans="1:13" ht="15">
      <c r="A19">
        <v>34</v>
      </c>
      <c r="B19">
        <v>7.21</v>
      </c>
      <c r="C19">
        <v>10.68</v>
      </c>
      <c r="D19">
        <v>15.99</v>
      </c>
      <c r="E19">
        <v>3.2012</v>
      </c>
      <c r="F19">
        <v>8.1584</v>
      </c>
      <c r="G19">
        <v>8.61</v>
      </c>
      <c r="H19">
        <v>13.28</v>
      </c>
      <c r="I19">
        <v>32.68</v>
      </c>
      <c r="J19">
        <v>20.3312</v>
      </c>
      <c r="K19">
        <v>31.71</v>
      </c>
      <c r="L19">
        <v>30.13</v>
      </c>
      <c r="M19">
        <v>34</v>
      </c>
    </row>
    <row r="20" spans="1:13" ht="15">
      <c r="A20">
        <v>33</v>
      </c>
      <c r="B20">
        <v>7.26</v>
      </c>
      <c r="C20">
        <v>10.75</v>
      </c>
      <c r="D20">
        <v>16.12</v>
      </c>
      <c r="E20">
        <v>3.2204</v>
      </c>
      <c r="F20">
        <v>8.2328</v>
      </c>
      <c r="G20">
        <v>8.69</v>
      </c>
      <c r="H20">
        <v>13.42</v>
      </c>
      <c r="I20">
        <v>32.93</v>
      </c>
      <c r="J20">
        <v>20.5504</v>
      </c>
      <c r="K20">
        <v>31.84</v>
      </c>
      <c r="L20">
        <v>30.26</v>
      </c>
      <c r="M20">
        <v>33</v>
      </c>
    </row>
    <row r="21" spans="1:13" ht="15">
      <c r="A21">
        <v>32</v>
      </c>
      <c r="B21">
        <v>7.31</v>
      </c>
      <c r="C21">
        <v>10.83</v>
      </c>
      <c r="D21">
        <v>16.24</v>
      </c>
      <c r="E21">
        <v>3.2396</v>
      </c>
      <c r="F21">
        <v>8.3072</v>
      </c>
      <c r="G21">
        <v>8.76</v>
      </c>
      <c r="H21">
        <v>13.55</v>
      </c>
      <c r="I21">
        <v>33.17</v>
      </c>
      <c r="J21">
        <v>21.1696</v>
      </c>
      <c r="K21">
        <v>31.96</v>
      </c>
      <c r="L21">
        <v>30.38</v>
      </c>
      <c r="M21">
        <v>32</v>
      </c>
    </row>
    <row r="22" spans="1:13" ht="15">
      <c r="A22">
        <v>31</v>
      </c>
      <c r="B22">
        <v>7.36</v>
      </c>
      <c r="C22">
        <v>10.9</v>
      </c>
      <c r="D22">
        <v>16.37</v>
      </c>
      <c r="E22">
        <v>3.2588</v>
      </c>
      <c r="F22">
        <v>8.3816</v>
      </c>
      <c r="G22">
        <v>8.84</v>
      </c>
      <c r="H22">
        <v>13.69</v>
      </c>
      <c r="I22">
        <v>33.42</v>
      </c>
      <c r="J22">
        <v>21.3888</v>
      </c>
      <c r="K22">
        <v>32.09</v>
      </c>
      <c r="L22">
        <v>30.51</v>
      </c>
      <c r="M22">
        <v>31</v>
      </c>
    </row>
    <row r="23" spans="1:13" ht="15">
      <c r="A23">
        <v>30</v>
      </c>
      <c r="B23">
        <v>7.41</v>
      </c>
      <c r="C23">
        <v>10.97</v>
      </c>
      <c r="D23">
        <v>16.5</v>
      </c>
      <c r="E23">
        <v>3.278</v>
      </c>
      <c r="F23">
        <v>8.456</v>
      </c>
      <c r="G23">
        <v>8.92</v>
      </c>
      <c r="H23">
        <v>13.83</v>
      </c>
      <c r="I23">
        <v>33.66</v>
      </c>
      <c r="J23">
        <v>22.008</v>
      </c>
      <c r="K23">
        <v>32.22</v>
      </c>
      <c r="L23">
        <v>30.64</v>
      </c>
      <c r="M23">
        <v>30</v>
      </c>
    </row>
    <row r="24" spans="1:13" ht="15">
      <c r="A24">
        <v>29</v>
      </c>
      <c r="B24">
        <v>7.46</v>
      </c>
      <c r="C24">
        <v>11.04</v>
      </c>
      <c r="D24">
        <v>16.62</v>
      </c>
      <c r="E24">
        <v>3.2972</v>
      </c>
      <c r="F24">
        <v>8.5304</v>
      </c>
      <c r="G24">
        <v>9</v>
      </c>
      <c r="H24">
        <v>13.97</v>
      </c>
      <c r="I24">
        <v>33.9</v>
      </c>
      <c r="J24">
        <v>22.2272</v>
      </c>
      <c r="K24">
        <v>32.35</v>
      </c>
      <c r="L24">
        <v>30.77</v>
      </c>
      <c r="M24">
        <v>29</v>
      </c>
    </row>
    <row r="25" spans="1:13" ht="15">
      <c r="A25">
        <v>28</v>
      </c>
      <c r="B25">
        <v>7.51</v>
      </c>
      <c r="C25">
        <v>11.11</v>
      </c>
      <c r="D25">
        <v>16.74</v>
      </c>
      <c r="E25">
        <v>3.3164</v>
      </c>
      <c r="F25">
        <v>9.0048</v>
      </c>
      <c r="G25">
        <v>9.08</v>
      </c>
      <c r="H25">
        <v>14.1</v>
      </c>
      <c r="I25">
        <v>34.15</v>
      </c>
      <c r="J25">
        <v>22.4464</v>
      </c>
      <c r="K25">
        <v>32.48</v>
      </c>
      <c r="L25">
        <v>30.9</v>
      </c>
      <c r="M25">
        <v>28</v>
      </c>
    </row>
    <row r="26" spans="1:13" ht="15">
      <c r="A26">
        <v>27</v>
      </c>
      <c r="B26">
        <v>7.56</v>
      </c>
      <c r="C26">
        <v>11.18</v>
      </c>
      <c r="D26">
        <v>16.94</v>
      </c>
      <c r="E26">
        <v>3.3356</v>
      </c>
      <c r="F26">
        <v>9.0792</v>
      </c>
      <c r="G26">
        <v>9.15</v>
      </c>
      <c r="H26">
        <v>14.24</v>
      </c>
      <c r="I26">
        <v>34.39</v>
      </c>
      <c r="J26">
        <v>23.0656</v>
      </c>
      <c r="K26">
        <v>32.6</v>
      </c>
      <c r="L26">
        <v>31.03</v>
      </c>
      <c r="M26">
        <v>27</v>
      </c>
    </row>
    <row r="27" spans="1:13" ht="15">
      <c r="A27">
        <v>26</v>
      </c>
      <c r="B27">
        <v>7.6</v>
      </c>
      <c r="C27">
        <v>11.25</v>
      </c>
      <c r="D27">
        <v>17.14</v>
      </c>
      <c r="E27">
        <v>3.3548</v>
      </c>
      <c r="F27">
        <v>9.1536</v>
      </c>
      <c r="G27">
        <v>9.23</v>
      </c>
      <c r="H27">
        <v>14.38</v>
      </c>
      <c r="I27">
        <v>34.64</v>
      </c>
      <c r="J27">
        <v>23.2848</v>
      </c>
      <c r="K27">
        <v>32.73</v>
      </c>
      <c r="L27">
        <v>31.16</v>
      </c>
      <c r="M27">
        <v>26</v>
      </c>
    </row>
    <row r="28" spans="1:13" ht="15">
      <c r="A28">
        <v>25</v>
      </c>
      <c r="B28">
        <v>7.65</v>
      </c>
      <c r="C28">
        <v>11.32</v>
      </c>
      <c r="D28">
        <v>17.34</v>
      </c>
      <c r="E28">
        <v>3.374</v>
      </c>
      <c r="F28">
        <v>9.228</v>
      </c>
      <c r="G28">
        <v>9.31</v>
      </c>
      <c r="H28">
        <v>14.51</v>
      </c>
      <c r="I28">
        <v>34.88</v>
      </c>
      <c r="J28">
        <v>23.504</v>
      </c>
      <c r="K28">
        <v>32.86</v>
      </c>
      <c r="L28">
        <v>31.29</v>
      </c>
      <c r="M28">
        <v>25</v>
      </c>
    </row>
    <row r="29" spans="1:13" ht="15">
      <c r="A29">
        <v>24</v>
      </c>
      <c r="B29">
        <v>7.7</v>
      </c>
      <c r="C29">
        <v>11.39</v>
      </c>
      <c r="D29">
        <v>17.54</v>
      </c>
      <c r="E29">
        <v>3.3932</v>
      </c>
      <c r="F29">
        <v>9.3024</v>
      </c>
      <c r="G29">
        <v>9.39</v>
      </c>
      <c r="H29">
        <v>14.65</v>
      </c>
      <c r="I29">
        <v>35.12</v>
      </c>
      <c r="J29">
        <v>24.1232</v>
      </c>
      <c r="K29">
        <v>32.99</v>
      </c>
      <c r="L29">
        <v>31.41</v>
      </c>
      <c r="M29">
        <v>24</v>
      </c>
    </row>
    <row r="30" spans="1:13" ht="15">
      <c r="A30">
        <v>23</v>
      </c>
      <c r="B30">
        <v>7.75</v>
      </c>
      <c r="C30">
        <v>11.46</v>
      </c>
      <c r="D30">
        <v>17.74</v>
      </c>
      <c r="E30">
        <v>3.4124</v>
      </c>
      <c r="F30">
        <v>9.3768</v>
      </c>
      <c r="G30">
        <v>9.47</v>
      </c>
      <c r="H30">
        <v>14.79</v>
      </c>
      <c r="I30">
        <v>35.37</v>
      </c>
      <c r="J30">
        <v>24.3424</v>
      </c>
      <c r="K30">
        <v>33.12</v>
      </c>
      <c r="L30">
        <v>31.54</v>
      </c>
      <c r="M30">
        <v>23</v>
      </c>
    </row>
    <row r="31" spans="1:13" ht="15">
      <c r="A31">
        <v>22</v>
      </c>
      <c r="B31">
        <v>7.8</v>
      </c>
      <c r="C31">
        <v>11.53</v>
      </c>
      <c r="D31">
        <v>17.93</v>
      </c>
      <c r="E31">
        <v>3.4316</v>
      </c>
      <c r="F31">
        <v>9.4512</v>
      </c>
      <c r="G31">
        <v>9.54</v>
      </c>
      <c r="H31">
        <v>14.93</v>
      </c>
      <c r="I31">
        <v>35.61</v>
      </c>
      <c r="J31">
        <v>24.5616</v>
      </c>
      <c r="K31">
        <v>33.24</v>
      </c>
      <c r="L31">
        <v>31.67</v>
      </c>
      <c r="M31">
        <v>22</v>
      </c>
    </row>
    <row r="32" spans="1:13" ht="15">
      <c r="A32">
        <v>21</v>
      </c>
      <c r="B32">
        <v>7.85</v>
      </c>
      <c r="C32">
        <v>11.6</v>
      </c>
      <c r="D32">
        <v>18.12</v>
      </c>
      <c r="E32">
        <v>3.4508</v>
      </c>
      <c r="F32">
        <v>9.5256</v>
      </c>
      <c r="G32">
        <v>9.62</v>
      </c>
      <c r="H32">
        <v>15.06</v>
      </c>
      <c r="I32">
        <v>35.86</v>
      </c>
      <c r="J32">
        <v>25.1808</v>
      </c>
      <c r="K32">
        <v>33.37</v>
      </c>
      <c r="L32">
        <v>31.8</v>
      </c>
      <c r="M32">
        <v>21</v>
      </c>
    </row>
    <row r="33" spans="1:13" ht="15">
      <c r="A33">
        <v>20</v>
      </c>
      <c r="B33">
        <v>7.9</v>
      </c>
      <c r="C33">
        <v>11.67</v>
      </c>
      <c r="D33">
        <v>18.31</v>
      </c>
      <c r="E33">
        <v>3.47</v>
      </c>
      <c r="F33">
        <v>10</v>
      </c>
      <c r="G33">
        <v>9.7</v>
      </c>
      <c r="H33">
        <v>15.2</v>
      </c>
      <c r="I33">
        <v>36.1</v>
      </c>
      <c r="J33">
        <v>25.4</v>
      </c>
      <c r="K33">
        <v>33.5</v>
      </c>
      <c r="L33">
        <v>31.93</v>
      </c>
      <c r="M33">
        <v>20</v>
      </c>
    </row>
    <row r="34" spans="1:13" ht="15">
      <c r="A34">
        <v>19</v>
      </c>
      <c r="B34">
        <v>8.01</v>
      </c>
      <c r="C34">
        <v>11.85</v>
      </c>
      <c r="D34">
        <v>18.56</v>
      </c>
      <c r="E34">
        <v>3.5211</v>
      </c>
      <c r="F34">
        <v>10.0447</v>
      </c>
      <c r="G34">
        <v>9.98</v>
      </c>
      <c r="H34">
        <v>15.6</v>
      </c>
      <c r="I34">
        <v>37.28</v>
      </c>
      <c r="J34">
        <v>25.5</v>
      </c>
      <c r="K34">
        <v>33.87</v>
      </c>
      <c r="L34">
        <v>32.2</v>
      </c>
      <c r="M34">
        <v>19</v>
      </c>
    </row>
    <row r="35" spans="1:13" ht="15">
      <c r="A35">
        <v>18</v>
      </c>
      <c r="B35">
        <v>8.11</v>
      </c>
      <c r="C35">
        <v>12.02</v>
      </c>
      <c r="D35">
        <v>18.81</v>
      </c>
      <c r="E35">
        <v>3.5721</v>
      </c>
      <c r="F35">
        <v>10.0895</v>
      </c>
      <c r="G35">
        <v>10.27</v>
      </c>
      <c r="H35">
        <v>16</v>
      </c>
      <c r="I35">
        <v>38.46</v>
      </c>
      <c r="J35">
        <v>26</v>
      </c>
      <c r="K35">
        <v>34.24</v>
      </c>
      <c r="L35">
        <v>32.47</v>
      </c>
      <c r="M35">
        <v>18</v>
      </c>
    </row>
    <row r="36" spans="1:13" ht="15">
      <c r="A36">
        <v>17</v>
      </c>
      <c r="B36">
        <v>8.22</v>
      </c>
      <c r="C36">
        <v>12.2</v>
      </c>
      <c r="D36">
        <v>19.06</v>
      </c>
      <c r="E36">
        <v>4.0232</v>
      </c>
      <c r="F36">
        <v>10.1342</v>
      </c>
      <c r="G36">
        <v>10.55</v>
      </c>
      <c r="H36">
        <v>16.4</v>
      </c>
      <c r="I36">
        <v>39.64</v>
      </c>
      <c r="J36">
        <v>26.1</v>
      </c>
      <c r="K36">
        <v>34.61</v>
      </c>
      <c r="L36">
        <v>32.74</v>
      </c>
      <c r="M36">
        <v>17</v>
      </c>
    </row>
    <row r="37" spans="1:13" ht="15">
      <c r="A37">
        <v>16</v>
      </c>
      <c r="B37">
        <v>8.32</v>
      </c>
      <c r="C37">
        <v>12.38</v>
      </c>
      <c r="D37">
        <v>19.28</v>
      </c>
      <c r="E37">
        <v>4.0742</v>
      </c>
      <c r="F37">
        <v>10.1789</v>
      </c>
      <c r="G37">
        <v>10.83</v>
      </c>
      <c r="H37">
        <v>16.8</v>
      </c>
      <c r="I37">
        <v>40.82</v>
      </c>
      <c r="J37">
        <v>26.2</v>
      </c>
      <c r="K37">
        <v>34.97</v>
      </c>
      <c r="L37">
        <v>33</v>
      </c>
      <c r="M37">
        <v>16</v>
      </c>
    </row>
    <row r="38" spans="1:13" ht="15">
      <c r="A38">
        <v>15</v>
      </c>
      <c r="B38">
        <v>8.43</v>
      </c>
      <c r="C38">
        <v>12.55</v>
      </c>
      <c r="D38">
        <v>19.51</v>
      </c>
      <c r="E38">
        <v>4.1253</v>
      </c>
      <c r="F38">
        <v>10.2237</v>
      </c>
      <c r="G38">
        <v>11.12</v>
      </c>
      <c r="H38">
        <v>17.2</v>
      </c>
      <c r="I38">
        <v>41.99</v>
      </c>
      <c r="J38">
        <v>26.3</v>
      </c>
      <c r="K38">
        <v>35.34</v>
      </c>
      <c r="L38">
        <v>33.27</v>
      </c>
      <c r="M38">
        <v>15</v>
      </c>
    </row>
    <row r="39" spans="1:13" ht="15">
      <c r="A39">
        <v>14</v>
      </c>
      <c r="B39">
        <v>8.53</v>
      </c>
      <c r="C39">
        <v>12.73</v>
      </c>
      <c r="D39">
        <v>19.74</v>
      </c>
      <c r="E39">
        <v>4.1763</v>
      </c>
      <c r="F39">
        <v>10.2684</v>
      </c>
      <c r="G39">
        <v>11.4</v>
      </c>
      <c r="H39">
        <v>17.6</v>
      </c>
      <c r="I39">
        <v>43.17</v>
      </c>
      <c r="J39">
        <v>26.4</v>
      </c>
      <c r="K39">
        <v>35.71</v>
      </c>
      <c r="L39">
        <v>33.54</v>
      </c>
      <c r="M39">
        <v>14</v>
      </c>
    </row>
    <row r="40" spans="1:13" ht="15">
      <c r="A40">
        <v>13</v>
      </c>
      <c r="B40">
        <v>8.64</v>
      </c>
      <c r="C40">
        <v>12.9</v>
      </c>
      <c r="D40">
        <v>19.96</v>
      </c>
      <c r="E40">
        <v>4.2274</v>
      </c>
      <c r="F40">
        <v>10.3132</v>
      </c>
      <c r="G40">
        <v>11.68</v>
      </c>
      <c r="H40">
        <v>18</v>
      </c>
      <c r="I40">
        <v>44.35</v>
      </c>
      <c r="J40">
        <v>26.5</v>
      </c>
      <c r="K40">
        <v>36.08</v>
      </c>
      <c r="L40">
        <v>33.81</v>
      </c>
      <c r="M40">
        <v>13</v>
      </c>
    </row>
    <row r="41" spans="1:13" ht="15">
      <c r="A41">
        <v>12</v>
      </c>
      <c r="B41">
        <v>8.74</v>
      </c>
      <c r="C41">
        <v>13.08</v>
      </c>
      <c r="D41">
        <v>20.19</v>
      </c>
      <c r="E41">
        <v>4.2784</v>
      </c>
      <c r="F41">
        <v>10.3579</v>
      </c>
      <c r="G41">
        <v>11.97</v>
      </c>
      <c r="H41">
        <v>18.4</v>
      </c>
      <c r="I41">
        <v>45.53</v>
      </c>
      <c r="J41">
        <v>27</v>
      </c>
      <c r="K41">
        <v>36.45</v>
      </c>
      <c r="L41">
        <v>34.08</v>
      </c>
      <c r="M41">
        <v>12</v>
      </c>
    </row>
    <row r="42" spans="1:13" ht="15">
      <c r="A42">
        <v>11</v>
      </c>
      <c r="B42">
        <v>8.85</v>
      </c>
      <c r="C42">
        <v>13.26</v>
      </c>
      <c r="D42">
        <v>20.41</v>
      </c>
      <c r="E42">
        <v>4.3295</v>
      </c>
      <c r="F42">
        <v>10.4026</v>
      </c>
      <c r="G42">
        <v>12.25</v>
      </c>
      <c r="H42">
        <v>18.8</v>
      </c>
      <c r="I42">
        <v>46.71</v>
      </c>
      <c r="J42">
        <v>27.1</v>
      </c>
      <c r="K42">
        <v>36.82</v>
      </c>
      <c r="L42">
        <v>34.35</v>
      </c>
      <c r="M42">
        <v>11</v>
      </c>
    </row>
    <row r="43" spans="1:13" ht="15">
      <c r="A43">
        <v>10</v>
      </c>
      <c r="B43">
        <v>8.95</v>
      </c>
      <c r="C43">
        <v>13.43</v>
      </c>
      <c r="D43">
        <v>20.71</v>
      </c>
      <c r="E43">
        <v>4.3805</v>
      </c>
      <c r="F43">
        <v>10.4474</v>
      </c>
      <c r="G43">
        <v>12.53</v>
      </c>
      <c r="H43">
        <v>19.2</v>
      </c>
      <c r="I43">
        <v>47.89</v>
      </c>
      <c r="J43">
        <v>27.2</v>
      </c>
      <c r="K43">
        <v>37.18</v>
      </c>
      <c r="L43">
        <v>34.61</v>
      </c>
      <c r="M43">
        <v>10</v>
      </c>
    </row>
    <row r="44" spans="1:13" ht="15">
      <c r="A44">
        <v>9</v>
      </c>
      <c r="B44">
        <v>9.06</v>
      </c>
      <c r="C44">
        <v>13.61</v>
      </c>
      <c r="D44">
        <v>21.06</v>
      </c>
      <c r="E44">
        <v>4.4316</v>
      </c>
      <c r="F44">
        <v>10.4921</v>
      </c>
      <c r="G44">
        <v>12.81</v>
      </c>
      <c r="H44">
        <v>19.6</v>
      </c>
      <c r="I44">
        <v>49.07</v>
      </c>
      <c r="J44">
        <v>27.3</v>
      </c>
      <c r="K44">
        <v>37.55</v>
      </c>
      <c r="L44">
        <v>34.88</v>
      </c>
      <c r="M44">
        <v>9</v>
      </c>
    </row>
    <row r="45" spans="1:13" ht="15">
      <c r="A45">
        <v>8</v>
      </c>
      <c r="B45">
        <v>9.16</v>
      </c>
      <c r="C45">
        <v>13.79</v>
      </c>
      <c r="D45">
        <v>21.4</v>
      </c>
      <c r="E45">
        <v>4.4826</v>
      </c>
      <c r="F45">
        <v>10.5368</v>
      </c>
      <c r="G45">
        <v>13.1</v>
      </c>
      <c r="H45">
        <v>20</v>
      </c>
      <c r="I45">
        <v>50.25</v>
      </c>
      <c r="J45">
        <v>27.4</v>
      </c>
      <c r="K45">
        <v>37.92</v>
      </c>
      <c r="L45">
        <v>35.15</v>
      </c>
      <c r="M45">
        <v>8</v>
      </c>
    </row>
    <row r="46" spans="1:13" ht="15">
      <c r="A46">
        <v>7</v>
      </c>
      <c r="B46">
        <v>9.27</v>
      </c>
      <c r="C46">
        <v>13.96</v>
      </c>
      <c r="D46">
        <v>21.75</v>
      </c>
      <c r="E46">
        <v>4.5337</v>
      </c>
      <c r="F46">
        <v>10.5816</v>
      </c>
      <c r="G46">
        <v>13.38</v>
      </c>
      <c r="H46">
        <v>20.4</v>
      </c>
      <c r="I46">
        <v>51.43</v>
      </c>
      <c r="J46">
        <v>27.5</v>
      </c>
      <c r="K46">
        <v>38.29</v>
      </c>
      <c r="L46">
        <v>35.42</v>
      </c>
      <c r="M46">
        <v>7</v>
      </c>
    </row>
    <row r="47" spans="1:13" ht="15">
      <c r="A47">
        <v>6</v>
      </c>
      <c r="B47">
        <v>9.37</v>
      </c>
      <c r="C47">
        <v>14.14</v>
      </c>
      <c r="D47">
        <v>22.19</v>
      </c>
      <c r="E47">
        <v>4.5847</v>
      </c>
      <c r="F47">
        <v>11.0263</v>
      </c>
      <c r="G47">
        <v>13.66</v>
      </c>
      <c r="H47">
        <v>20.8</v>
      </c>
      <c r="I47">
        <v>52.61</v>
      </c>
      <c r="J47">
        <v>28</v>
      </c>
      <c r="K47">
        <v>38.66</v>
      </c>
      <c r="L47">
        <v>35.69</v>
      </c>
      <c r="M47">
        <v>6</v>
      </c>
    </row>
    <row r="48" spans="1:13" ht="15">
      <c r="A48">
        <v>5</v>
      </c>
      <c r="B48">
        <v>9.48</v>
      </c>
      <c r="C48">
        <v>14.31</v>
      </c>
      <c r="D48">
        <v>22.68</v>
      </c>
      <c r="E48">
        <v>5.0358</v>
      </c>
      <c r="F48">
        <v>11.0711</v>
      </c>
      <c r="G48">
        <v>13.95</v>
      </c>
      <c r="H48">
        <v>21.2</v>
      </c>
      <c r="I48">
        <v>53.78</v>
      </c>
      <c r="J48">
        <v>28.1</v>
      </c>
      <c r="K48">
        <v>39.03</v>
      </c>
      <c r="L48">
        <v>35.96</v>
      </c>
      <c r="M48">
        <v>5</v>
      </c>
    </row>
    <row r="49" spans="1:13" ht="15">
      <c r="A49">
        <v>4</v>
      </c>
      <c r="B49">
        <v>9.58</v>
      </c>
      <c r="C49">
        <v>14.49</v>
      </c>
      <c r="D49">
        <v>23.27</v>
      </c>
      <c r="E49">
        <v>5.0868</v>
      </c>
      <c r="F49">
        <v>11.1158</v>
      </c>
      <c r="G49">
        <v>14.23</v>
      </c>
      <c r="H49">
        <v>21.6</v>
      </c>
      <c r="I49">
        <v>54.96</v>
      </c>
      <c r="J49">
        <v>28.2</v>
      </c>
      <c r="K49">
        <v>39.39</v>
      </c>
      <c r="L49">
        <v>36.22</v>
      </c>
      <c r="M49">
        <v>4</v>
      </c>
    </row>
    <row r="50" spans="1:13" ht="15">
      <c r="A50">
        <v>3</v>
      </c>
      <c r="B50">
        <v>9.69</v>
      </c>
      <c r="C50">
        <v>14.67</v>
      </c>
      <c r="D50">
        <v>23.86</v>
      </c>
      <c r="E50">
        <v>5.1379</v>
      </c>
      <c r="F50">
        <v>11.1605</v>
      </c>
      <c r="G50">
        <v>14.51</v>
      </c>
      <c r="H50">
        <v>22</v>
      </c>
      <c r="I50">
        <v>56.14</v>
      </c>
      <c r="J50">
        <v>28.3</v>
      </c>
      <c r="K50">
        <v>39.76</v>
      </c>
      <c r="L50">
        <v>36.49</v>
      </c>
      <c r="M50">
        <v>3</v>
      </c>
    </row>
    <row r="51" spans="1:13" ht="15">
      <c r="A51">
        <v>2</v>
      </c>
      <c r="B51">
        <v>9.79</v>
      </c>
      <c r="C51">
        <v>14.84</v>
      </c>
      <c r="D51">
        <v>24.44</v>
      </c>
      <c r="E51">
        <v>5.1889</v>
      </c>
      <c r="F51">
        <v>11.2053</v>
      </c>
      <c r="G51">
        <v>14.8</v>
      </c>
      <c r="H51">
        <v>22.4</v>
      </c>
      <c r="I51">
        <v>57.32</v>
      </c>
      <c r="J51">
        <v>28.4</v>
      </c>
      <c r="K51">
        <v>40.13</v>
      </c>
      <c r="L51">
        <v>36.76</v>
      </c>
      <c r="M51">
        <v>2</v>
      </c>
    </row>
    <row r="52" spans="1:13" ht="15">
      <c r="A52">
        <v>1</v>
      </c>
      <c r="B52">
        <v>9.9</v>
      </c>
      <c r="C52">
        <v>15.02</v>
      </c>
      <c r="D52">
        <v>25.03</v>
      </c>
      <c r="E52">
        <v>5.24</v>
      </c>
      <c r="F52">
        <v>11.25</v>
      </c>
      <c r="G52">
        <v>15.08</v>
      </c>
      <c r="H52">
        <v>22.8</v>
      </c>
      <c r="I52">
        <v>58.5</v>
      </c>
      <c r="J52">
        <v>28.5</v>
      </c>
      <c r="K52">
        <v>40.5</v>
      </c>
      <c r="L52">
        <v>37.03</v>
      </c>
      <c r="M52">
        <v>1</v>
      </c>
    </row>
  </sheetData>
  <sheetProtection password="D2F3" sheet="1" objects="1" scenarios="1" selectLockedCells="1"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K19">
      <selection activeCell="A19" sqref="A1:J1048576"/>
    </sheetView>
  </sheetViews>
  <sheetFormatPr defaultColWidth="11.421875" defaultRowHeight="15"/>
  <cols>
    <col min="1" max="10" width="11.421875" style="0" hidden="1" customWidth="1"/>
  </cols>
  <sheetData>
    <row r="1" spans="1:10" ht="15">
      <c r="A1" t="s">
        <v>32</v>
      </c>
      <c r="J1" t="s">
        <v>9</v>
      </c>
    </row>
    <row r="2" spans="1:10" ht="29.45" customHeight="1">
      <c r="A2" s="1" t="s">
        <v>11</v>
      </c>
      <c r="B2" s="1" t="s">
        <v>15</v>
      </c>
      <c r="C2" s="1" t="s">
        <v>16</v>
      </c>
      <c r="D2" s="1" t="s">
        <v>17</v>
      </c>
      <c r="E2" s="1" t="s">
        <v>40</v>
      </c>
      <c r="F2" s="1" t="s">
        <v>26</v>
      </c>
      <c r="G2" s="1" t="s">
        <v>41</v>
      </c>
      <c r="H2" s="1" t="s">
        <v>28</v>
      </c>
      <c r="I2" s="1" t="s">
        <v>29</v>
      </c>
      <c r="J2" s="1" t="s">
        <v>11</v>
      </c>
    </row>
    <row r="3" spans="1:10" ht="15">
      <c r="A3">
        <v>1</v>
      </c>
      <c r="B3">
        <v>0.89</v>
      </c>
      <c r="C3">
        <v>1.4</v>
      </c>
      <c r="D3">
        <v>2.2</v>
      </c>
      <c r="E3">
        <v>5.8</v>
      </c>
      <c r="F3">
        <v>3.7</v>
      </c>
      <c r="G3">
        <v>7.8</v>
      </c>
      <c r="H3">
        <v>8.1</v>
      </c>
      <c r="I3">
        <v>6</v>
      </c>
      <c r="J3">
        <v>1</v>
      </c>
    </row>
    <row r="4" spans="1:10" ht="15">
      <c r="A4">
        <v>2</v>
      </c>
      <c r="B4">
        <v>0.91</v>
      </c>
      <c r="C4">
        <v>1.44</v>
      </c>
      <c r="D4">
        <v>2.28</v>
      </c>
      <c r="E4">
        <v>5.96</v>
      </c>
      <c r="F4">
        <v>3.86</v>
      </c>
      <c r="G4">
        <v>8.28</v>
      </c>
      <c r="H4">
        <v>8.75</v>
      </c>
      <c r="I4">
        <v>6.49</v>
      </c>
      <c r="J4">
        <v>2</v>
      </c>
    </row>
    <row r="5" spans="1:10" ht="15">
      <c r="A5">
        <v>3</v>
      </c>
      <c r="B5">
        <v>0.93</v>
      </c>
      <c r="C5">
        <v>1.47</v>
      </c>
      <c r="D5">
        <v>2.37</v>
      </c>
      <c r="E5">
        <v>6.12</v>
      </c>
      <c r="F5">
        <v>4.02</v>
      </c>
      <c r="G5">
        <v>8.77</v>
      </c>
      <c r="H5">
        <v>9.41</v>
      </c>
      <c r="I5">
        <v>6.98</v>
      </c>
      <c r="J5">
        <v>3</v>
      </c>
    </row>
    <row r="6" spans="1:10" ht="15">
      <c r="A6">
        <v>4</v>
      </c>
      <c r="B6">
        <v>0.95</v>
      </c>
      <c r="C6">
        <v>1.51</v>
      </c>
      <c r="D6">
        <v>2.45</v>
      </c>
      <c r="E6">
        <v>6.27</v>
      </c>
      <c r="F6">
        <v>4.17</v>
      </c>
      <c r="G6">
        <v>9.25</v>
      </c>
      <c r="H6">
        <v>10.06</v>
      </c>
      <c r="I6">
        <v>7.47</v>
      </c>
      <c r="J6">
        <v>4</v>
      </c>
    </row>
    <row r="7" spans="1:10" ht="15">
      <c r="A7">
        <v>5</v>
      </c>
      <c r="B7">
        <v>0.97</v>
      </c>
      <c r="C7">
        <v>1.55</v>
      </c>
      <c r="D7">
        <v>2.54</v>
      </c>
      <c r="E7">
        <v>6.43</v>
      </c>
      <c r="F7">
        <v>4.33</v>
      </c>
      <c r="G7">
        <v>9.74</v>
      </c>
      <c r="H7">
        <v>10.71</v>
      </c>
      <c r="I7">
        <v>7.96</v>
      </c>
      <c r="J7">
        <v>5</v>
      </c>
    </row>
    <row r="8" spans="1:10" ht="15">
      <c r="A8">
        <v>6</v>
      </c>
      <c r="B8">
        <v>0.99</v>
      </c>
      <c r="C8">
        <v>1.58</v>
      </c>
      <c r="D8">
        <v>2.62</v>
      </c>
      <c r="E8">
        <v>6.59</v>
      </c>
      <c r="F8">
        <v>4.49</v>
      </c>
      <c r="G8">
        <v>10.22</v>
      </c>
      <c r="H8">
        <v>11.36</v>
      </c>
      <c r="I8">
        <v>8.45</v>
      </c>
      <c r="J8">
        <v>6</v>
      </c>
    </row>
    <row r="9" spans="1:10" ht="15">
      <c r="A9">
        <v>7</v>
      </c>
      <c r="B9">
        <v>1.01</v>
      </c>
      <c r="C9">
        <v>1.62</v>
      </c>
      <c r="D9">
        <v>2.71</v>
      </c>
      <c r="E9">
        <v>6.75</v>
      </c>
      <c r="F9">
        <v>4.65</v>
      </c>
      <c r="G9">
        <v>10.71</v>
      </c>
      <c r="H9">
        <v>12.02</v>
      </c>
      <c r="I9">
        <v>8.94</v>
      </c>
      <c r="J9">
        <v>7</v>
      </c>
    </row>
    <row r="10" spans="1:10" ht="15">
      <c r="A10">
        <v>8</v>
      </c>
      <c r="B10">
        <v>1.03</v>
      </c>
      <c r="C10">
        <v>1.66</v>
      </c>
      <c r="D10">
        <v>2.79</v>
      </c>
      <c r="E10">
        <v>6.91</v>
      </c>
      <c r="F10">
        <v>4.81</v>
      </c>
      <c r="G10">
        <v>11.19</v>
      </c>
      <c r="H10">
        <v>12.67</v>
      </c>
      <c r="I10">
        <v>9.43</v>
      </c>
      <c r="J10">
        <v>8</v>
      </c>
    </row>
    <row r="11" spans="1:10" ht="15">
      <c r="A11">
        <v>9</v>
      </c>
      <c r="B11">
        <v>1.05</v>
      </c>
      <c r="C11">
        <v>1.69</v>
      </c>
      <c r="D11">
        <v>2.87</v>
      </c>
      <c r="E11">
        <v>7.06</v>
      </c>
      <c r="F11">
        <v>4.96</v>
      </c>
      <c r="G11">
        <v>11.67</v>
      </c>
      <c r="H11">
        <v>13.32</v>
      </c>
      <c r="I11">
        <v>9.92</v>
      </c>
      <c r="J11">
        <v>9</v>
      </c>
    </row>
    <row r="12" spans="1:10" ht="15">
      <c r="A12">
        <v>10</v>
      </c>
      <c r="B12">
        <v>1.07</v>
      </c>
      <c r="C12">
        <v>1.73</v>
      </c>
      <c r="D12">
        <v>2.96</v>
      </c>
      <c r="E12">
        <v>7.22</v>
      </c>
      <c r="F12">
        <v>5.12</v>
      </c>
      <c r="G12">
        <v>12.16</v>
      </c>
      <c r="H12">
        <v>13.97</v>
      </c>
      <c r="I12">
        <v>10.41</v>
      </c>
      <c r="J12">
        <v>10</v>
      </c>
    </row>
    <row r="13" spans="1:10" ht="15">
      <c r="A13">
        <v>11</v>
      </c>
      <c r="B13">
        <v>1.08</v>
      </c>
      <c r="C13">
        <v>1.77</v>
      </c>
      <c r="D13">
        <v>3.04</v>
      </c>
      <c r="E13">
        <v>7.38</v>
      </c>
      <c r="F13">
        <v>5.28</v>
      </c>
      <c r="G13">
        <v>12.64</v>
      </c>
      <c r="H13">
        <v>14.63</v>
      </c>
      <c r="I13">
        <v>10.89</v>
      </c>
      <c r="J13">
        <v>11</v>
      </c>
    </row>
    <row r="14" spans="1:10" ht="15">
      <c r="A14">
        <v>12</v>
      </c>
      <c r="B14">
        <v>1.1</v>
      </c>
      <c r="C14">
        <v>1.81</v>
      </c>
      <c r="D14">
        <v>3.13</v>
      </c>
      <c r="E14">
        <v>7.54</v>
      </c>
      <c r="F14">
        <v>5.44</v>
      </c>
      <c r="G14">
        <v>13.13</v>
      </c>
      <c r="H14">
        <v>15.28</v>
      </c>
      <c r="I14">
        <v>11.38</v>
      </c>
      <c r="J14">
        <v>12</v>
      </c>
    </row>
    <row r="15" spans="1:10" ht="15">
      <c r="A15">
        <v>13</v>
      </c>
      <c r="B15">
        <v>1.12</v>
      </c>
      <c r="C15">
        <v>1.84</v>
      </c>
      <c r="D15">
        <v>3.21</v>
      </c>
      <c r="E15">
        <v>7.69</v>
      </c>
      <c r="F15">
        <v>5.59</v>
      </c>
      <c r="G15">
        <v>13.61</v>
      </c>
      <c r="H15">
        <v>15.93</v>
      </c>
      <c r="I15">
        <v>11.87</v>
      </c>
      <c r="J15">
        <v>13</v>
      </c>
    </row>
    <row r="16" spans="1:10" ht="15">
      <c r="A16">
        <v>14</v>
      </c>
      <c r="B16">
        <v>1.14</v>
      </c>
      <c r="C16">
        <v>1.88</v>
      </c>
      <c r="D16">
        <v>3.29</v>
      </c>
      <c r="E16">
        <v>7.85</v>
      </c>
      <c r="F16">
        <v>5.75</v>
      </c>
      <c r="G16">
        <v>14.09</v>
      </c>
      <c r="H16">
        <v>16.58</v>
      </c>
      <c r="I16">
        <v>12.36</v>
      </c>
      <c r="J16">
        <v>14</v>
      </c>
    </row>
    <row r="17" spans="1:10" ht="15">
      <c r="A17">
        <v>15</v>
      </c>
      <c r="B17">
        <v>1.16</v>
      </c>
      <c r="C17">
        <v>1.92</v>
      </c>
      <c r="D17">
        <v>3.38</v>
      </c>
      <c r="E17">
        <v>8.01</v>
      </c>
      <c r="F17">
        <v>5.91</v>
      </c>
      <c r="G17">
        <v>14.58</v>
      </c>
      <c r="H17">
        <v>17.24</v>
      </c>
      <c r="I17">
        <v>12.85</v>
      </c>
      <c r="J17">
        <v>15</v>
      </c>
    </row>
    <row r="18" spans="1:10" ht="15">
      <c r="A18">
        <v>16</v>
      </c>
      <c r="B18">
        <v>1.18</v>
      </c>
      <c r="C18">
        <v>1.95</v>
      </c>
      <c r="D18">
        <v>3.46</v>
      </c>
      <c r="E18">
        <v>8.17</v>
      </c>
      <c r="F18">
        <v>6.07</v>
      </c>
      <c r="G18">
        <v>15.06</v>
      </c>
      <c r="H18">
        <v>17.89</v>
      </c>
      <c r="I18">
        <v>13.34</v>
      </c>
      <c r="J18">
        <v>16</v>
      </c>
    </row>
    <row r="19" spans="1:10" ht="15">
      <c r="A19">
        <v>17</v>
      </c>
      <c r="B19">
        <v>1.2</v>
      </c>
      <c r="C19">
        <v>1.99</v>
      </c>
      <c r="D19">
        <v>3.55</v>
      </c>
      <c r="E19">
        <v>8.33</v>
      </c>
      <c r="F19">
        <v>6.23</v>
      </c>
      <c r="G19">
        <v>15.55</v>
      </c>
      <c r="H19">
        <v>18.54</v>
      </c>
      <c r="I19">
        <v>13.83</v>
      </c>
      <c r="J19">
        <v>17</v>
      </c>
    </row>
    <row r="20" spans="1:10" ht="15">
      <c r="A20">
        <v>18</v>
      </c>
      <c r="B20">
        <v>1.22</v>
      </c>
      <c r="C20">
        <v>2.03</v>
      </c>
      <c r="D20">
        <v>3.63</v>
      </c>
      <c r="E20">
        <v>8.48</v>
      </c>
      <c r="F20">
        <v>6.38</v>
      </c>
      <c r="G20">
        <v>16.03</v>
      </c>
      <c r="H20">
        <v>19.19</v>
      </c>
      <c r="I20">
        <v>14.32</v>
      </c>
      <c r="J20">
        <v>18</v>
      </c>
    </row>
    <row r="21" spans="1:10" ht="15">
      <c r="A21">
        <v>19</v>
      </c>
      <c r="B21">
        <v>1.24</v>
      </c>
      <c r="C21">
        <v>2.06</v>
      </c>
      <c r="D21">
        <v>3.72</v>
      </c>
      <c r="E21">
        <v>8.64</v>
      </c>
      <c r="F21">
        <v>6.54</v>
      </c>
      <c r="G21">
        <v>16.52</v>
      </c>
      <c r="H21">
        <v>19.85</v>
      </c>
      <c r="I21">
        <v>14.81</v>
      </c>
      <c r="J21">
        <v>19</v>
      </c>
    </row>
    <row r="22" spans="1:10" ht="15">
      <c r="A22">
        <v>20</v>
      </c>
      <c r="B22">
        <v>1.26</v>
      </c>
      <c r="C22">
        <v>2.1</v>
      </c>
      <c r="D22">
        <v>3.8</v>
      </c>
      <c r="E22">
        <v>8.8</v>
      </c>
      <c r="F22">
        <v>6.7</v>
      </c>
      <c r="G22">
        <v>17</v>
      </c>
      <c r="H22">
        <v>20.5</v>
      </c>
      <c r="I22">
        <v>15.3</v>
      </c>
      <c r="J22">
        <v>20</v>
      </c>
    </row>
    <row r="23" spans="1:10" ht="15">
      <c r="A23">
        <v>21</v>
      </c>
      <c r="B23">
        <v>1.28</v>
      </c>
      <c r="C23">
        <v>2.15</v>
      </c>
      <c r="D23">
        <v>3.87</v>
      </c>
      <c r="E23">
        <v>8.93</v>
      </c>
      <c r="F23">
        <v>6.91</v>
      </c>
      <c r="G23">
        <v>17.86</v>
      </c>
      <c r="H23">
        <v>21.72</v>
      </c>
      <c r="I23">
        <v>16.22</v>
      </c>
      <c r="J23">
        <v>21</v>
      </c>
    </row>
    <row r="24" spans="1:10" ht="15">
      <c r="A24">
        <v>22</v>
      </c>
      <c r="B24">
        <v>1.3</v>
      </c>
      <c r="C24">
        <v>2.2</v>
      </c>
      <c r="D24">
        <v>3.94</v>
      </c>
      <c r="E24">
        <v>9.06</v>
      </c>
      <c r="F24">
        <v>7.12</v>
      </c>
      <c r="G24">
        <v>18.71</v>
      </c>
      <c r="H24">
        <v>22.94</v>
      </c>
      <c r="I24">
        <v>17.15</v>
      </c>
      <c r="J24">
        <v>22</v>
      </c>
    </row>
    <row r="25" spans="1:10" ht="15">
      <c r="A25">
        <v>23</v>
      </c>
      <c r="B25">
        <v>1.31</v>
      </c>
      <c r="C25">
        <v>2.24</v>
      </c>
      <c r="D25">
        <v>4.02</v>
      </c>
      <c r="E25">
        <v>9.18</v>
      </c>
      <c r="F25">
        <v>7.34</v>
      </c>
      <c r="G25">
        <v>19.57</v>
      </c>
      <c r="H25">
        <v>24.16</v>
      </c>
      <c r="I25">
        <v>18.07</v>
      </c>
      <c r="J25">
        <v>23</v>
      </c>
    </row>
    <row r="26" spans="1:10" ht="15">
      <c r="A26">
        <v>24</v>
      </c>
      <c r="B26">
        <v>1.33</v>
      </c>
      <c r="C26">
        <v>2.29</v>
      </c>
      <c r="D26">
        <v>4.09</v>
      </c>
      <c r="E26">
        <v>9.31</v>
      </c>
      <c r="F26">
        <v>7.55</v>
      </c>
      <c r="G26">
        <v>20.42</v>
      </c>
      <c r="H26">
        <v>25.38</v>
      </c>
      <c r="I26">
        <v>19</v>
      </c>
      <c r="J26">
        <v>24</v>
      </c>
    </row>
    <row r="27" spans="1:10" ht="15">
      <c r="A27">
        <v>25</v>
      </c>
      <c r="B27">
        <v>1.35</v>
      </c>
      <c r="C27">
        <v>2.34</v>
      </c>
      <c r="D27">
        <v>4.16</v>
      </c>
      <c r="E27">
        <v>9.44</v>
      </c>
      <c r="F27">
        <v>7.76</v>
      </c>
      <c r="G27">
        <v>21.28</v>
      </c>
      <c r="H27">
        <v>26.6</v>
      </c>
      <c r="I27">
        <v>19.92</v>
      </c>
      <c r="J27">
        <v>25</v>
      </c>
    </row>
    <row r="28" spans="1:10" ht="15">
      <c r="A28">
        <v>26</v>
      </c>
      <c r="B28">
        <v>1.37</v>
      </c>
      <c r="C28">
        <v>2.39</v>
      </c>
      <c r="D28">
        <v>4.23</v>
      </c>
      <c r="E28">
        <v>9.57</v>
      </c>
      <c r="F28">
        <v>7.97</v>
      </c>
      <c r="G28">
        <v>22.14</v>
      </c>
      <c r="H28">
        <v>27.82</v>
      </c>
      <c r="I28">
        <v>20.84</v>
      </c>
      <c r="J28">
        <v>26</v>
      </c>
    </row>
    <row r="29" spans="1:10" ht="15">
      <c r="A29">
        <v>27</v>
      </c>
      <c r="B29">
        <v>1.38</v>
      </c>
      <c r="C29">
        <v>2.44</v>
      </c>
      <c r="D29">
        <v>4.3</v>
      </c>
      <c r="E29">
        <v>9.7</v>
      </c>
      <c r="F29">
        <v>8.18</v>
      </c>
      <c r="G29">
        <v>22.99</v>
      </c>
      <c r="H29">
        <v>29.04</v>
      </c>
      <c r="I29">
        <v>21.77</v>
      </c>
      <c r="J29">
        <v>27</v>
      </c>
    </row>
    <row r="30" spans="1:10" ht="15">
      <c r="A30">
        <v>28</v>
      </c>
      <c r="B30">
        <v>1.4</v>
      </c>
      <c r="C30">
        <v>2.48</v>
      </c>
      <c r="D30">
        <v>4.38</v>
      </c>
      <c r="E30">
        <v>9.82</v>
      </c>
      <c r="F30">
        <v>8.4</v>
      </c>
      <c r="G30">
        <v>23.85</v>
      </c>
      <c r="H30">
        <v>30.26</v>
      </c>
      <c r="I30">
        <v>22.69</v>
      </c>
      <c r="J30">
        <v>28</v>
      </c>
    </row>
    <row r="31" spans="1:10" ht="15">
      <c r="A31">
        <v>29</v>
      </c>
      <c r="B31">
        <v>1.42</v>
      </c>
      <c r="C31">
        <v>2.53</v>
      </c>
      <c r="D31">
        <v>4.45</v>
      </c>
      <c r="E31">
        <v>9.95</v>
      </c>
      <c r="F31">
        <v>8.61</v>
      </c>
      <c r="G31">
        <v>24.7</v>
      </c>
      <c r="H31">
        <v>31.48</v>
      </c>
      <c r="I31">
        <v>23.62</v>
      </c>
      <c r="J31">
        <v>29</v>
      </c>
    </row>
    <row r="32" spans="1:10" ht="15">
      <c r="A32">
        <v>30</v>
      </c>
      <c r="B32">
        <v>1.44</v>
      </c>
      <c r="C32">
        <v>2.58</v>
      </c>
      <c r="D32">
        <v>4.52</v>
      </c>
      <c r="E32">
        <v>10.08</v>
      </c>
      <c r="F32">
        <v>8.82</v>
      </c>
      <c r="G32">
        <v>25.56</v>
      </c>
      <c r="H32">
        <v>32.7</v>
      </c>
      <c r="I32">
        <v>24.54</v>
      </c>
      <c r="J32">
        <v>30</v>
      </c>
    </row>
    <row r="33" spans="1:10" ht="15">
      <c r="A33">
        <v>31</v>
      </c>
      <c r="B33">
        <v>1.45</v>
      </c>
      <c r="C33">
        <v>2.63</v>
      </c>
      <c r="D33">
        <v>4.59</v>
      </c>
      <c r="E33">
        <v>10.21</v>
      </c>
      <c r="F33">
        <v>9.03</v>
      </c>
      <c r="G33">
        <v>26.42</v>
      </c>
      <c r="H33">
        <v>33.92</v>
      </c>
      <c r="I33">
        <v>25.46</v>
      </c>
      <c r="J33">
        <v>31</v>
      </c>
    </row>
    <row r="34" spans="1:10" ht="15">
      <c r="A34">
        <v>32</v>
      </c>
      <c r="B34">
        <v>1.47</v>
      </c>
      <c r="C34">
        <v>2.68</v>
      </c>
      <c r="D34">
        <v>4.66</v>
      </c>
      <c r="E34">
        <v>10.34</v>
      </c>
      <c r="F34">
        <v>9.24</v>
      </c>
      <c r="G34">
        <v>27.27</v>
      </c>
      <c r="H34">
        <v>35.14</v>
      </c>
      <c r="I34">
        <v>26.39</v>
      </c>
      <c r="J34">
        <v>32</v>
      </c>
    </row>
    <row r="35" spans="1:10" ht="15">
      <c r="A35">
        <v>33</v>
      </c>
      <c r="B35">
        <v>1.49</v>
      </c>
      <c r="C35">
        <v>2.72</v>
      </c>
      <c r="D35">
        <v>4.74</v>
      </c>
      <c r="E35">
        <v>10.46</v>
      </c>
      <c r="F35">
        <v>9.46</v>
      </c>
      <c r="G35">
        <v>28.13</v>
      </c>
      <c r="H35">
        <v>36.36</v>
      </c>
      <c r="I35">
        <v>27.31</v>
      </c>
      <c r="J35">
        <v>33</v>
      </c>
    </row>
    <row r="36" spans="1:10" ht="15">
      <c r="A36">
        <v>34</v>
      </c>
      <c r="B36">
        <v>1.51</v>
      </c>
      <c r="C36">
        <v>2.77</v>
      </c>
      <c r="D36">
        <v>4.81</v>
      </c>
      <c r="E36">
        <v>10.59</v>
      </c>
      <c r="F36">
        <v>9.67</v>
      </c>
      <c r="G36">
        <v>28.98</v>
      </c>
      <c r="H36">
        <v>37.58</v>
      </c>
      <c r="I36">
        <v>28.24</v>
      </c>
      <c r="J36">
        <v>34</v>
      </c>
    </row>
    <row r="37" spans="1:10" ht="15">
      <c r="A37">
        <v>35</v>
      </c>
      <c r="B37">
        <v>1.52</v>
      </c>
      <c r="C37">
        <v>2.82</v>
      </c>
      <c r="D37">
        <v>4.88</v>
      </c>
      <c r="E37">
        <v>10.72</v>
      </c>
      <c r="F37">
        <v>9.88</v>
      </c>
      <c r="G37">
        <v>29.84</v>
      </c>
      <c r="H37">
        <v>38.8</v>
      </c>
      <c r="I37">
        <v>29.16</v>
      </c>
      <c r="J37">
        <v>35</v>
      </c>
    </row>
    <row r="38" spans="1:10" ht="15">
      <c r="A38">
        <v>36</v>
      </c>
      <c r="B38">
        <v>1.54</v>
      </c>
      <c r="C38">
        <v>2.87</v>
      </c>
      <c r="D38">
        <v>4.95</v>
      </c>
      <c r="E38">
        <v>10.85</v>
      </c>
      <c r="F38">
        <v>10.09</v>
      </c>
      <c r="G38">
        <v>30.7</v>
      </c>
      <c r="H38">
        <v>40.02</v>
      </c>
      <c r="I38">
        <v>30.08</v>
      </c>
      <c r="J38">
        <v>36</v>
      </c>
    </row>
    <row r="39" spans="1:10" ht="15">
      <c r="A39">
        <v>37</v>
      </c>
      <c r="B39">
        <v>1.56</v>
      </c>
      <c r="C39">
        <v>2.92</v>
      </c>
      <c r="D39">
        <v>5.02</v>
      </c>
      <c r="E39">
        <v>10.98</v>
      </c>
      <c r="F39">
        <v>10.3</v>
      </c>
      <c r="G39">
        <v>31.55</v>
      </c>
      <c r="H39">
        <v>41.24</v>
      </c>
      <c r="I39">
        <v>31.01</v>
      </c>
      <c r="J39">
        <v>37</v>
      </c>
    </row>
    <row r="40" spans="1:10" ht="15">
      <c r="A40">
        <v>38</v>
      </c>
      <c r="B40">
        <v>1.58</v>
      </c>
      <c r="C40">
        <v>2.96</v>
      </c>
      <c r="D40">
        <v>5.1</v>
      </c>
      <c r="E40">
        <v>11.1</v>
      </c>
      <c r="F40">
        <v>10.52</v>
      </c>
      <c r="G40">
        <v>32.41</v>
      </c>
      <c r="H40">
        <v>42.46</v>
      </c>
      <c r="I40">
        <v>31.93</v>
      </c>
      <c r="J40">
        <v>38</v>
      </c>
    </row>
    <row r="41" spans="1:10" ht="15">
      <c r="A41">
        <v>39</v>
      </c>
      <c r="B41">
        <v>1.59</v>
      </c>
      <c r="C41">
        <v>3.01</v>
      </c>
      <c r="D41">
        <v>5.17</v>
      </c>
      <c r="E41">
        <v>11.23</v>
      </c>
      <c r="F41">
        <v>10.73</v>
      </c>
      <c r="G41">
        <v>33.26</v>
      </c>
      <c r="H41">
        <v>43.68</v>
      </c>
      <c r="I41">
        <v>32.86</v>
      </c>
      <c r="J41">
        <v>39</v>
      </c>
    </row>
    <row r="42" spans="1:10" ht="15">
      <c r="A42">
        <v>40</v>
      </c>
      <c r="B42">
        <v>1.61</v>
      </c>
      <c r="C42">
        <v>3.06</v>
      </c>
      <c r="D42">
        <v>5.24</v>
      </c>
      <c r="E42">
        <v>11.36</v>
      </c>
      <c r="F42">
        <v>10.94</v>
      </c>
      <c r="G42">
        <v>34.12</v>
      </c>
      <c r="H42">
        <v>44.9</v>
      </c>
      <c r="I42">
        <v>33.78</v>
      </c>
      <c r="J42">
        <v>40</v>
      </c>
    </row>
    <row r="43" spans="1:10" ht="15">
      <c r="A43">
        <v>41</v>
      </c>
      <c r="B43">
        <v>1.63</v>
      </c>
      <c r="C43">
        <v>3.11</v>
      </c>
      <c r="D43">
        <v>5.31</v>
      </c>
      <c r="E43">
        <v>11.49</v>
      </c>
      <c r="F43">
        <v>11.15</v>
      </c>
      <c r="G43">
        <v>34.98</v>
      </c>
      <c r="H43">
        <v>46.12</v>
      </c>
      <c r="I43">
        <v>34.7</v>
      </c>
      <c r="J43">
        <v>41</v>
      </c>
    </row>
    <row r="44" spans="1:10" ht="15">
      <c r="A44">
        <v>42</v>
      </c>
      <c r="B44">
        <v>1.65</v>
      </c>
      <c r="C44">
        <v>3.16</v>
      </c>
      <c r="D44">
        <v>5.38</v>
      </c>
      <c r="E44">
        <v>11.62</v>
      </c>
      <c r="F44">
        <v>11.36</v>
      </c>
      <c r="G44">
        <v>35.83</v>
      </c>
      <c r="H44">
        <v>47.34</v>
      </c>
      <c r="I44">
        <v>35.63</v>
      </c>
      <c r="J44">
        <v>42</v>
      </c>
    </row>
    <row r="45" spans="1:10" ht="15">
      <c r="A45">
        <v>43</v>
      </c>
      <c r="B45">
        <v>1.66</v>
      </c>
      <c r="C45">
        <v>3.2</v>
      </c>
      <c r="D45">
        <v>5.46</v>
      </c>
      <c r="E45">
        <v>11.74</v>
      </c>
      <c r="F45">
        <v>11.58</v>
      </c>
      <c r="G45">
        <v>36.69</v>
      </c>
      <c r="H45">
        <v>48.56</v>
      </c>
      <c r="I45">
        <v>36.55</v>
      </c>
      <c r="J45">
        <v>43</v>
      </c>
    </row>
    <row r="46" spans="1:10" ht="15">
      <c r="A46">
        <v>44</v>
      </c>
      <c r="B46">
        <v>1.68</v>
      </c>
      <c r="C46">
        <v>3.25</v>
      </c>
      <c r="D46">
        <v>5.53</v>
      </c>
      <c r="E46">
        <v>11.87</v>
      </c>
      <c r="F46">
        <v>11.79</v>
      </c>
      <c r="G46">
        <v>37.54</v>
      </c>
      <c r="H46">
        <v>49.78</v>
      </c>
      <c r="I46">
        <v>37.48</v>
      </c>
      <c r="J46">
        <v>44</v>
      </c>
    </row>
    <row r="47" spans="1:10" ht="15">
      <c r="A47">
        <v>45</v>
      </c>
      <c r="B47">
        <v>1.7</v>
      </c>
      <c r="C47">
        <v>3.3</v>
      </c>
      <c r="D47">
        <v>5.6</v>
      </c>
      <c r="E47">
        <v>12</v>
      </c>
      <c r="F47">
        <v>12</v>
      </c>
      <c r="G47">
        <v>38.4</v>
      </c>
      <c r="H47">
        <v>51</v>
      </c>
      <c r="I47">
        <v>38.4</v>
      </c>
      <c r="J47">
        <v>45</v>
      </c>
    </row>
    <row r="48" spans="1:10" ht="15">
      <c r="A48">
        <v>46</v>
      </c>
      <c r="B48">
        <v>1.72</v>
      </c>
      <c r="C48">
        <v>3.42</v>
      </c>
      <c r="D48">
        <v>5.79</v>
      </c>
      <c r="E48">
        <v>12.26</v>
      </c>
      <c r="F48">
        <v>12.65</v>
      </c>
      <c r="G48">
        <v>40.52</v>
      </c>
      <c r="H48">
        <v>53.33</v>
      </c>
      <c r="I48">
        <v>42.27</v>
      </c>
      <c r="J48">
        <v>46</v>
      </c>
    </row>
    <row r="49" spans="1:10" ht="15">
      <c r="A49">
        <v>47</v>
      </c>
      <c r="B49">
        <v>1.74</v>
      </c>
      <c r="C49">
        <v>3.54</v>
      </c>
      <c r="D49">
        <v>5.99</v>
      </c>
      <c r="E49">
        <v>12.52</v>
      </c>
      <c r="F49">
        <v>13.3</v>
      </c>
      <c r="G49">
        <v>42.64</v>
      </c>
      <c r="H49">
        <v>55.66</v>
      </c>
      <c r="I49">
        <v>46.15</v>
      </c>
      <c r="J49">
        <v>47</v>
      </c>
    </row>
    <row r="50" spans="1:10" ht="15">
      <c r="A50">
        <v>48</v>
      </c>
      <c r="B50">
        <v>1.76</v>
      </c>
      <c r="C50">
        <v>3.66</v>
      </c>
      <c r="D50">
        <v>6.18</v>
      </c>
      <c r="E50">
        <v>12.79</v>
      </c>
      <c r="F50">
        <v>13.94</v>
      </c>
      <c r="G50">
        <v>44.75</v>
      </c>
      <c r="H50">
        <v>57.98</v>
      </c>
      <c r="I50">
        <v>50.02</v>
      </c>
      <c r="J50">
        <v>48</v>
      </c>
    </row>
    <row r="51" spans="1:10" ht="15">
      <c r="A51">
        <v>49</v>
      </c>
      <c r="B51">
        <v>1.78</v>
      </c>
      <c r="C51">
        <v>3.78</v>
      </c>
      <c r="D51">
        <v>6.38</v>
      </c>
      <c r="E51">
        <v>13.05</v>
      </c>
      <c r="F51">
        <v>14.59</v>
      </c>
      <c r="G51">
        <v>46.87</v>
      </c>
      <c r="H51">
        <v>60.31</v>
      </c>
      <c r="I51">
        <v>53.9</v>
      </c>
      <c r="J51">
        <v>49</v>
      </c>
    </row>
    <row r="52" spans="1:10" ht="15">
      <c r="A52">
        <v>50</v>
      </c>
      <c r="B52">
        <v>1.8</v>
      </c>
      <c r="C52">
        <v>3.9</v>
      </c>
      <c r="D52">
        <v>6.57</v>
      </c>
      <c r="E52">
        <v>13.31</v>
      </c>
      <c r="F52">
        <v>15.24</v>
      </c>
      <c r="G52">
        <v>48.99</v>
      </c>
      <c r="H52">
        <v>62.64</v>
      </c>
      <c r="I52">
        <v>57.77</v>
      </c>
      <c r="J52">
        <v>50</v>
      </c>
    </row>
  </sheetData>
  <sheetProtection password="D2F3" sheet="1" objects="1" scenarios="1" selectLockedCells="1"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N1">
      <selection activeCell="M1" sqref="A1:M1048576"/>
    </sheetView>
  </sheetViews>
  <sheetFormatPr defaultColWidth="11.421875" defaultRowHeight="15"/>
  <cols>
    <col min="1" max="13" width="11.421875" style="0" hidden="1" customWidth="1"/>
  </cols>
  <sheetData>
    <row r="1" spans="1:4" ht="15">
      <c r="A1" t="s">
        <v>44</v>
      </c>
      <c r="B1" t="s">
        <v>9</v>
      </c>
      <c r="D1" t="s">
        <v>10</v>
      </c>
    </row>
    <row r="2" spans="1:14" ht="30">
      <c r="A2" s="1" t="s">
        <v>11</v>
      </c>
      <c r="B2" s="1" t="s">
        <v>45</v>
      </c>
      <c r="C2" s="1" t="s">
        <v>34</v>
      </c>
      <c r="D2" s="1" t="s">
        <v>35</v>
      </c>
      <c r="E2" s="1" t="s">
        <v>24</v>
      </c>
      <c r="F2" s="1" t="s">
        <v>36</v>
      </c>
      <c r="G2" s="1" t="s">
        <v>46</v>
      </c>
      <c r="H2" s="1" t="s">
        <v>47</v>
      </c>
      <c r="I2" s="1" t="s">
        <v>39</v>
      </c>
      <c r="J2" s="1" t="s">
        <v>42</v>
      </c>
      <c r="K2" s="1" t="s">
        <v>20</v>
      </c>
      <c r="L2" s="1" t="s">
        <v>43</v>
      </c>
      <c r="M2" s="1" t="s">
        <v>11</v>
      </c>
      <c r="N2" s="1"/>
    </row>
    <row r="3" spans="1:13" ht="15">
      <c r="A3">
        <v>50</v>
      </c>
      <c r="B3">
        <v>5.97</v>
      </c>
      <c r="C3">
        <v>8.84</v>
      </c>
      <c r="D3">
        <v>12.83</v>
      </c>
      <c r="E3">
        <v>2.3016</v>
      </c>
      <c r="F3">
        <v>5.4</v>
      </c>
      <c r="G3">
        <v>6.85</v>
      </c>
      <c r="H3">
        <v>12.85</v>
      </c>
      <c r="I3">
        <v>25.14</v>
      </c>
      <c r="J3">
        <v>12.588</v>
      </c>
      <c r="K3">
        <v>26.53</v>
      </c>
      <c r="L3">
        <v>28.5</v>
      </c>
      <c r="M3">
        <v>50</v>
      </c>
    </row>
    <row r="4" spans="1:14" s="1" customFormat="1" ht="15">
      <c r="A4">
        <v>49</v>
      </c>
      <c r="B4">
        <v>6.01</v>
      </c>
      <c r="C4">
        <v>8.87</v>
      </c>
      <c r="D4">
        <v>12.89</v>
      </c>
      <c r="E4">
        <v>2.3153</v>
      </c>
      <c r="F4">
        <v>5.4414</v>
      </c>
      <c r="G4">
        <v>6.91</v>
      </c>
      <c r="H4">
        <v>12.97</v>
      </c>
      <c r="I4">
        <v>25.33</v>
      </c>
      <c r="J4">
        <v>13.2344</v>
      </c>
      <c r="K4">
        <v>26.74</v>
      </c>
      <c r="L4">
        <v>28.54</v>
      </c>
      <c r="M4">
        <v>49</v>
      </c>
      <c r="N4"/>
    </row>
    <row r="5" spans="1:13" ht="15">
      <c r="A5">
        <v>48</v>
      </c>
      <c r="B5">
        <v>6.04</v>
      </c>
      <c r="C5">
        <v>8.9</v>
      </c>
      <c r="D5">
        <v>12.95</v>
      </c>
      <c r="E5">
        <v>2.329</v>
      </c>
      <c r="F5">
        <v>5.4827</v>
      </c>
      <c r="G5">
        <v>6.96</v>
      </c>
      <c r="H5">
        <v>13.09</v>
      </c>
      <c r="I5">
        <v>25.52</v>
      </c>
      <c r="J5">
        <v>13.4808</v>
      </c>
      <c r="K5">
        <v>26.95</v>
      </c>
      <c r="L5">
        <v>28.58</v>
      </c>
      <c r="M5">
        <v>48</v>
      </c>
    </row>
    <row r="6" spans="1:13" ht="15">
      <c r="A6">
        <v>47</v>
      </c>
      <c r="B6">
        <v>6.08</v>
      </c>
      <c r="C6">
        <v>8.93</v>
      </c>
      <c r="D6">
        <v>13.01</v>
      </c>
      <c r="E6">
        <v>2.3426</v>
      </c>
      <c r="F6">
        <v>5.5241</v>
      </c>
      <c r="G6">
        <v>7.02</v>
      </c>
      <c r="H6">
        <v>13.2</v>
      </c>
      <c r="I6">
        <v>25.72</v>
      </c>
      <c r="J6">
        <v>14.1272</v>
      </c>
      <c r="K6">
        <v>27.15</v>
      </c>
      <c r="L6">
        <v>28.63</v>
      </c>
      <c r="M6">
        <v>47</v>
      </c>
    </row>
    <row r="7" spans="1:13" ht="15">
      <c r="A7">
        <v>46</v>
      </c>
      <c r="B7">
        <v>6.11</v>
      </c>
      <c r="C7">
        <v>8.96</v>
      </c>
      <c r="D7">
        <v>13.07</v>
      </c>
      <c r="E7">
        <v>2.3563</v>
      </c>
      <c r="F7">
        <v>5.5654</v>
      </c>
      <c r="G7">
        <v>7.07</v>
      </c>
      <c r="H7">
        <v>13.32</v>
      </c>
      <c r="I7">
        <v>25.91</v>
      </c>
      <c r="J7">
        <v>14.3736</v>
      </c>
      <c r="K7">
        <v>27.36</v>
      </c>
      <c r="L7">
        <v>28.67</v>
      </c>
      <c r="M7">
        <v>46</v>
      </c>
    </row>
    <row r="8" spans="1:13" ht="15">
      <c r="A8">
        <v>45</v>
      </c>
      <c r="B8">
        <v>6.15</v>
      </c>
      <c r="C8">
        <v>8.99</v>
      </c>
      <c r="D8">
        <v>13.13</v>
      </c>
      <c r="E8">
        <v>2.37</v>
      </c>
      <c r="F8">
        <v>6.0068</v>
      </c>
      <c r="G8">
        <v>7.13</v>
      </c>
      <c r="H8">
        <v>13.44</v>
      </c>
      <c r="I8">
        <v>26.1</v>
      </c>
      <c r="J8">
        <v>15.02</v>
      </c>
      <c r="K8">
        <v>27.57</v>
      </c>
      <c r="L8">
        <v>28.71</v>
      </c>
      <c r="M8">
        <v>45</v>
      </c>
    </row>
    <row r="9" spans="1:13" ht="15">
      <c r="A9">
        <v>44</v>
      </c>
      <c r="B9">
        <v>6.2</v>
      </c>
      <c r="C9">
        <v>9.06</v>
      </c>
      <c r="D9">
        <v>13.26</v>
      </c>
      <c r="E9">
        <v>2.3864</v>
      </c>
      <c r="F9">
        <v>6.0305</v>
      </c>
      <c r="G9">
        <v>7.21</v>
      </c>
      <c r="H9">
        <v>13.6</v>
      </c>
      <c r="I9">
        <v>26.34</v>
      </c>
      <c r="J9">
        <v>15.1268</v>
      </c>
      <c r="K9">
        <v>27.67</v>
      </c>
      <c r="L9">
        <v>28.84</v>
      </c>
      <c r="M9">
        <v>44</v>
      </c>
    </row>
    <row r="10" spans="1:13" ht="15">
      <c r="A10">
        <v>43</v>
      </c>
      <c r="B10">
        <v>6.24</v>
      </c>
      <c r="C10">
        <v>9.12</v>
      </c>
      <c r="D10">
        <v>13.39</v>
      </c>
      <c r="E10">
        <v>2.4028</v>
      </c>
      <c r="F10">
        <v>6.0543</v>
      </c>
      <c r="G10">
        <v>7.29</v>
      </c>
      <c r="H10">
        <v>13.76</v>
      </c>
      <c r="I10">
        <v>26.57</v>
      </c>
      <c r="J10">
        <v>15.2336</v>
      </c>
      <c r="K10">
        <v>27.77</v>
      </c>
      <c r="L10">
        <v>28.97</v>
      </c>
      <c r="M10">
        <v>43</v>
      </c>
    </row>
    <row r="11" spans="1:13" ht="15">
      <c r="A11">
        <v>42</v>
      </c>
      <c r="B11">
        <v>6.29</v>
      </c>
      <c r="C11">
        <v>9.19</v>
      </c>
      <c r="D11">
        <v>13.52</v>
      </c>
      <c r="E11">
        <v>2.4192</v>
      </c>
      <c r="F11">
        <v>6.078</v>
      </c>
      <c r="G11">
        <v>7.37</v>
      </c>
      <c r="H11">
        <v>13.93</v>
      </c>
      <c r="I11">
        <v>26.81</v>
      </c>
      <c r="J11">
        <v>15.3404</v>
      </c>
      <c r="K11">
        <v>27.87</v>
      </c>
      <c r="L11">
        <v>29.1</v>
      </c>
      <c r="M11">
        <v>42</v>
      </c>
    </row>
    <row r="12" spans="1:13" ht="15">
      <c r="A12">
        <v>41</v>
      </c>
      <c r="B12">
        <v>6.33</v>
      </c>
      <c r="C12">
        <v>9.25</v>
      </c>
      <c r="D12">
        <v>13.64</v>
      </c>
      <c r="E12">
        <v>2.4356</v>
      </c>
      <c r="F12">
        <v>6.1017</v>
      </c>
      <c r="G12">
        <v>7.44</v>
      </c>
      <c r="H12">
        <v>14.09</v>
      </c>
      <c r="I12">
        <v>27.05</v>
      </c>
      <c r="J12">
        <v>15.4472</v>
      </c>
      <c r="K12">
        <v>27.97</v>
      </c>
      <c r="L12">
        <v>29.23</v>
      </c>
      <c r="M12">
        <v>41</v>
      </c>
    </row>
    <row r="13" spans="1:13" ht="15">
      <c r="A13">
        <v>40</v>
      </c>
      <c r="B13">
        <v>6.38</v>
      </c>
      <c r="C13">
        <v>9.32</v>
      </c>
      <c r="D13">
        <v>13.78</v>
      </c>
      <c r="E13">
        <v>2.452</v>
      </c>
      <c r="F13">
        <v>6.1254</v>
      </c>
      <c r="G13">
        <v>7.52</v>
      </c>
      <c r="H13">
        <v>14.25</v>
      </c>
      <c r="I13">
        <v>27.29</v>
      </c>
      <c r="J13">
        <v>15.554</v>
      </c>
      <c r="K13">
        <v>28.07</v>
      </c>
      <c r="L13">
        <v>29.35</v>
      </c>
      <c r="M13">
        <v>40</v>
      </c>
    </row>
    <row r="14" spans="1:13" ht="15">
      <c r="A14">
        <v>39</v>
      </c>
      <c r="B14">
        <v>6.43</v>
      </c>
      <c r="C14">
        <v>9.39</v>
      </c>
      <c r="D14">
        <v>13.9</v>
      </c>
      <c r="E14">
        <v>2.4684</v>
      </c>
      <c r="F14">
        <v>6.1492</v>
      </c>
      <c r="G14">
        <v>7.6</v>
      </c>
      <c r="H14">
        <v>14.41</v>
      </c>
      <c r="I14">
        <v>27.52</v>
      </c>
      <c r="J14">
        <v>16.0608</v>
      </c>
      <c r="K14">
        <v>28.17</v>
      </c>
      <c r="L14">
        <v>29.48</v>
      </c>
      <c r="M14">
        <v>39</v>
      </c>
    </row>
    <row r="15" spans="1:13" ht="15">
      <c r="A15">
        <v>38</v>
      </c>
      <c r="B15">
        <v>6.47</v>
      </c>
      <c r="C15">
        <v>9.45</v>
      </c>
      <c r="D15">
        <v>14.04</v>
      </c>
      <c r="E15">
        <v>2.4848</v>
      </c>
      <c r="F15">
        <v>6.1729</v>
      </c>
      <c r="G15">
        <v>7.68</v>
      </c>
      <c r="H15">
        <v>14.58</v>
      </c>
      <c r="I15">
        <v>27.76</v>
      </c>
      <c r="J15">
        <v>16.1676</v>
      </c>
      <c r="K15">
        <v>28.28</v>
      </c>
      <c r="L15">
        <v>29.61</v>
      </c>
      <c r="M15">
        <v>38</v>
      </c>
    </row>
    <row r="16" spans="1:13" ht="15">
      <c r="A16">
        <v>37</v>
      </c>
      <c r="B16">
        <v>6.52</v>
      </c>
      <c r="C16">
        <v>9.52</v>
      </c>
      <c r="D16">
        <v>14.17</v>
      </c>
      <c r="E16">
        <v>2.5012</v>
      </c>
      <c r="F16">
        <v>6.1966</v>
      </c>
      <c r="G16">
        <v>7.76</v>
      </c>
      <c r="H16">
        <v>14.74</v>
      </c>
      <c r="I16">
        <v>28</v>
      </c>
      <c r="J16">
        <v>16.2744</v>
      </c>
      <c r="K16">
        <v>28.38</v>
      </c>
      <c r="L16">
        <v>29.74</v>
      </c>
      <c r="M16">
        <v>37</v>
      </c>
    </row>
    <row r="17" spans="1:13" ht="15">
      <c r="A17">
        <v>36</v>
      </c>
      <c r="B17">
        <v>6.56</v>
      </c>
      <c r="C17">
        <v>9.58</v>
      </c>
      <c r="D17">
        <v>14.31</v>
      </c>
      <c r="E17">
        <v>2.5176</v>
      </c>
      <c r="F17">
        <v>6.2204</v>
      </c>
      <c r="G17">
        <v>7.84</v>
      </c>
      <c r="H17">
        <v>14.9</v>
      </c>
      <c r="I17">
        <v>28.23</v>
      </c>
      <c r="J17">
        <v>16.3812</v>
      </c>
      <c r="K17">
        <v>28.48</v>
      </c>
      <c r="L17">
        <v>29.87</v>
      </c>
      <c r="M17">
        <v>36</v>
      </c>
    </row>
    <row r="18" spans="1:13" ht="15">
      <c r="A18">
        <v>35</v>
      </c>
      <c r="B18">
        <v>6.61</v>
      </c>
      <c r="C18">
        <v>9.65</v>
      </c>
      <c r="D18">
        <v>14.44</v>
      </c>
      <c r="E18">
        <v>2.534</v>
      </c>
      <c r="F18">
        <v>6.2441</v>
      </c>
      <c r="G18">
        <v>7.91</v>
      </c>
      <c r="H18">
        <v>15.06</v>
      </c>
      <c r="I18">
        <v>28.47</v>
      </c>
      <c r="J18">
        <v>16.488</v>
      </c>
      <c r="K18">
        <v>28.58</v>
      </c>
      <c r="L18">
        <v>30</v>
      </c>
      <c r="M18">
        <v>35</v>
      </c>
    </row>
    <row r="19" spans="1:13" ht="15">
      <c r="A19">
        <v>34</v>
      </c>
      <c r="B19">
        <v>6.66</v>
      </c>
      <c r="C19">
        <v>9.72</v>
      </c>
      <c r="D19">
        <v>14.58</v>
      </c>
      <c r="E19">
        <v>2.5504</v>
      </c>
      <c r="F19">
        <v>6.2678</v>
      </c>
      <c r="G19">
        <v>7.99</v>
      </c>
      <c r="H19">
        <v>15.23</v>
      </c>
      <c r="I19">
        <v>28.71</v>
      </c>
      <c r="J19">
        <v>16.5948</v>
      </c>
      <c r="K19">
        <v>28.68</v>
      </c>
      <c r="L19">
        <v>30.13</v>
      </c>
      <c r="M19">
        <v>34</v>
      </c>
    </row>
    <row r="20" spans="1:13" ht="15">
      <c r="A20">
        <v>33</v>
      </c>
      <c r="B20">
        <v>6.7</v>
      </c>
      <c r="C20">
        <v>9.78</v>
      </c>
      <c r="D20">
        <v>14.68</v>
      </c>
      <c r="E20">
        <v>2.5668</v>
      </c>
      <c r="F20">
        <v>6.2915</v>
      </c>
      <c r="G20">
        <v>8.07</v>
      </c>
      <c r="H20">
        <v>15.39</v>
      </c>
      <c r="I20">
        <v>28.95</v>
      </c>
      <c r="J20">
        <v>17.1016</v>
      </c>
      <c r="K20">
        <v>28.78</v>
      </c>
      <c r="L20">
        <v>30.26</v>
      </c>
      <c r="M20">
        <v>33</v>
      </c>
    </row>
    <row r="21" spans="1:13" ht="15">
      <c r="A21">
        <v>32</v>
      </c>
      <c r="B21">
        <v>6.75</v>
      </c>
      <c r="C21">
        <v>9.85</v>
      </c>
      <c r="D21">
        <v>14.79</v>
      </c>
      <c r="E21">
        <v>2.5832</v>
      </c>
      <c r="F21">
        <v>6.3153</v>
      </c>
      <c r="G21">
        <v>8.15</v>
      </c>
      <c r="H21">
        <v>15.55</v>
      </c>
      <c r="I21">
        <v>29.18</v>
      </c>
      <c r="J21">
        <v>17.2084</v>
      </c>
      <c r="K21">
        <v>28.88</v>
      </c>
      <c r="L21">
        <v>30.38</v>
      </c>
      <c r="M21">
        <v>32</v>
      </c>
    </row>
    <row r="22" spans="1:13" ht="15">
      <c r="A22">
        <v>31</v>
      </c>
      <c r="B22">
        <v>6.79</v>
      </c>
      <c r="C22">
        <v>9.91</v>
      </c>
      <c r="D22">
        <v>14.89</v>
      </c>
      <c r="E22">
        <v>2.5996</v>
      </c>
      <c r="F22">
        <v>6.339</v>
      </c>
      <c r="G22">
        <v>8.23</v>
      </c>
      <c r="H22">
        <v>15.71</v>
      </c>
      <c r="I22">
        <v>29.42</v>
      </c>
      <c r="J22">
        <v>17.3152</v>
      </c>
      <c r="K22">
        <v>28.98</v>
      </c>
      <c r="L22">
        <v>30.51</v>
      </c>
      <c r="M22">
        <v>31</v>
      </c>
    </row>
    <row r="23" spans="1:13" ht="15">
      <c r="A23">
        <v>30</v>
      </c>
      <c r="B23">
        <v>6.84</v>
      </c>
      <c r="C23">
        <v>9.98</v>
      </c>
      <c r="D23">
        <v>15</v>
      </c>
      <c r="E23">
        <v>3.016</v>
      </c>
      <c r="F23">
        <v>6.3627</v>
      </c>
      <c r="G23">
        <v>8.31</v>
      </c>
      <c r="H23">
        <v>15.88</v>
      </c>
      <c r="I23">
        <v>29.66</v>
      </c>
      <c r="J23">
        <v>17.422</v>
      </c>
      <c r="K23">
        <v>29.08</v>
      </c>
      <c r="L23">
        <v>30.64</v>
      </c>
      <c r="M23">
        <v>30</v>
      </c>
    </row>
    <row r="24" spans="1:13" ht="15">
      <c r="A24">
        <v>29</v>
      </c>
      <c r="B24">
        <v>6.89</v>
      </c>
      <c r="C24">
        <v>10.05</v>
      </c>
      <c r="D24">
        <v>15.1</v>
      </c>
      <c r="E24">
        <v>3.0324</v>
      </c>
      <c r="F24">
        <v>6.3864</v>
      </c>
      <c r="G24">
        <v>8.38</v>
      </c>
      <c r="H24">
        <v>16.04</v>
      </c>
      <c r="I24">
        <v>29.9</v>
      </c>
      <c r="J24">
        <v>17.5288</v>
      </c>
      <c r="K24">
        <v>29.18</v>
      </c>
      <c r="L24">
        <v>30.77</v>
      </c>
      <c r="M24">
        <v>29</v>
      </c>
    </row>
    <row r="25" spans="1:13" ht="15">
      <c r="A25">
        <v>28</v>
      </c>
      <c r="B25">
        <v>6.93</v>
      </c>
      <c r="C25">
        <v>10.11</v>
      </c>
      <c r="D25">
        <v>15.2</v>
      </c>
      <c r="E25">
        <v>3.0488</v>
      </c>
      <c r="F25">
        <v>6.4102</v>
      </c>
      <c r="G25">
        <v>8.46</v>
      </c>
      <c r="H25">
        <v>16.2</v>
      </c>
      <c r="I25">
        <v>30.13</v>
      </c>
      <c r="J25">
        <v>18.0356</v>
      </c>
      <c r="K25">
        <v>29.28</v>
      </c>
      <c r="L25">
        <v>30.9</v>
      </c>
      <c r="M25">
        <v>28</v>
      </c>
    </row>
    <row r="26" spans="1:13" ht="15">
      <c r="A26">
        <v>27</v>
      </c>
      <c r="B26">
        <v>6.98</v>
      </c>
      <c r="C26">
        <v>10.18</v>
      </c>
      <c r="D26">
        <v>15.34</v>
      </c>
      <c r="E26">
        <v>3.0652</v>
      </c>
      <c r="F26">
        <v>6.4339</v>
      </c>
      <c r="G26">
        <v>8.54</v>
      </c>
      <c r="H26">
        <v>16.36</v>
      </c>
      <c r="I26">
        <v>30.37</v>
      </c>
      <c r="J26">
        <v>18.1424</v>
      </c>
      <c r="K26">
        <v>29.38</v>
      </c>
      <c r="L26">
        <v>31.03</v>
      </c>
      <c r="M26">
        <v>27</v>
      </c>
    </row>
    <row r="27" spans="1:13" ht="15">
      <c r="A27">
        <v>26</v>
      </c>
      <c r="B27">
        <v>7.02</v>
      </c>
      <c r="C27">
        <v>10.24</v>
      </c>
      <c r="D27">
        <v>15.48</v>
      </c>
      <c r="E27">
        <v>3.0816</v>
      </c>
      <c r="F27">
        <v>6.4576</v>
      </c>
      <c r="G27">
        <v>8.62</v>
      </c>
      <c r="H27">
        <v>16.53</v>
      </c>
      <c r="I27">
        <v>30.61</v>
      </c>
      <c r="J27">
        <v>18.2492</v>
      </c>
      <c r="K27">
        <v>29.49</v>
      </c>
      <c r="L27">
        <v>31.16</v>
      </c>
      <c r="M27">
        <v>26</v>
      </c>
    </row>
    <row r="28" spans="1:13" ht="15">
      <c r="A28">
        <v>25</v>
      </c>
      <c r="B28">
        <v>7.07</v>
      </c>
      <c r="C28">
        <v>10.31</v>
      </c>
      <c r="D28">
        <v>15.61</v>
      </c>
      <c r="E28">
        <v>3.098</v>
      </c>
      <c r="F28">
        <v>6.4814</v>
      </c>
      <c r="G28">
        <v>8.7</v>
      </c>
      <c r="H28">
        <v>16.69</v>
      </c>
      <c r="I28">
        <v>30.84</v>
      </c>
      <c r="J28">
        <v>18.356</v>
      </c>
      <c r="K28">
        <v>29.59</v>
      </c>
      <c r="L28">
        <v>31.29</v>
      </c>
      <c r="M28">
        <v>25</v>
      </c>
    </row>
    <row r="29" spans="1:13" ht="15">
      <c r="A29">
        <v>24</v>
      </c>
      <c r="B29">
        <v>7.12</v>
      </c>
      <c r="C29">
        <v>10.38</v>
      </c>
      <c r="D29">
        <v>15.75</v>
      </c>
      <c r="E29">
        <v>3.1144</v>
      </c>
      <c r="F29">
        <v>6.5051</v>
      </c>
      <c r="G29">
        <v>8.78</v>
      </c>
      <c r="H29">
        <v>16.85</v>
      </c>
      <c r="I29">
        <v>31.08</v>
      </c>
      <c r="J29">
        <v>18.4628</v>
      </c>
      <c r="K29">
        <v>29.69</v>
      </c>
      <c r="L29">
        <v>31.41</v>
      </c>
      <c r="M29">
        <v>24</v>
      </c>
    </row>
    <row r="30" spans="1:13" ht="15">
      <c r="A30">
        <v>23</v>
      </c>
      <c r="B30">
        <v>7.16</v>
      </c>
      <c r="C30">
        <v>10.44</v>
      </c>
      <c r="D30">
        <v>15.88</v>
      </c>
      <c r="E30">
        <v>3.1308</v>
      </c>
      <c r="F30">
        <v>6.5288</v>
      </c>
      <c r="G30">
        <v>8.85</v>
      </c>
      <c r="H30">
        <v>17.01</v>
      </c>
      <c r="I30">
        <v>31.32</v>
      </c>
      <c r="J30">
        <v>18.5696</v>
      </c>
      <c r="K30">
        <v>29.79</v>
      </c>
      <c r="L30">
        <v>31.54</v>
      </c>
      <c r="M30">
        <v>23</v>
      </c>
    </row>
    <row r="31" spans="1:13" ht="15">
      <c r="A31">
        <v>22</v>
      </c>
      <c r="B31">
        <v>7.21</v>
      </c>
      <c r="C31">
        <v>10.51</v>
      </c>
      <c r="D31">
        <v>15.98</v>
      </c>
      <c r="E31">
        <v>3.1472</v>
      </c>
      <c r="F31">
        <v>6.5525</v>
      </c>
      <c r="G31">
        <v>8.93</v>
      </c>
      <c r="H31">
        <v>17.18</v>
      </c>
      <c r="I31">
        <v>31.56</v>
      </c>
      <c r="J31">
        <v>19.0764</v>
      </c>
      <c r="K31">
        <v>29.89</v>
      </c>
      <c r="L31">
        <v>31.67</v>
      </c>
      <c r="M31">
        <v>22</v>
      </c>
    </row>
    <row r="32" spans="1:13" ht="15">
      <c r="A32">
        <v>21</v>
      </c>
      <c r="B32">
        <v>7.25</v>
      </c>
      <c r="C32">
        <v>10.57</v>
      </c>
      <c r="D32">
        <v>16.09</v>
      </c>
      <c r="E32">
        <v>3.1636</v>
      </c>
      <c r="F32">
        <v>6.5763</v>
      </c>
      <c r="G32">
        <v>9.01</v>
      </c>
      <c r="H32">
        <v>17.34</v>
      </c>
      <c r="I32">
        <v>31.79</v>
      </c>
      <c r="J32">
        <v>19.1832</v>
      </c>
      <c r="K32">
        <v>29.99</v>
      </c>
      <c r="L32">
        <v>31.8</v>
      </c>
      <c r="M32">
        <v>21</v>
      </c>
    </row>
    <row r="33" spans="1:13" ht="15">
      <c r="A33">
        <v>20</v>
      </c>
      <c r="B33">
        <v>7.3</v>
      </c>
      <c r="C33">
        <v>10.64</v>
      </c>
      <c r="D33">
        <v>16.2</v>
      </c>
      <c r="E33">
        <v>3.18</v>
      </c>
      <c r="F33">
        <v>7</v>
      </c>
      <c r="G33">
        <v>9.09</v>
      </c>
      <c r="H33">
        <v>17.5</v>
      </c>
      <c r="I33">
        <v>32.03</v>
      </c>
      <c r="J33">
        <v>19.29</v>
      </c>
      <c r="K33">
        <v>30.09</v>
      </c>
      <c r="L33">
        <v>31.93</v>
      </c>
      <c r="M33">
        <v>20</v>
      </c>
    </row>
    <row r="34" spans="1:13" ht="15">
      <c r="A34">
        <v>19</v>
      </c>
      <c r="B34">
        <v>7.43</v>
      </c>
      <c r="C34">
        <v>10.84</v>
      </c>
      <c r="D34">
        <v>16.38</v>
      </c>
      <c r="E34">
        <v>3.2242</v>
      </c>
      <c r="F34">
        <v>7.0868</v>
      </c>
      <c r="G34">
        <v>9.32</v>
      </c>
      <c r="H34">
        <v>17.89</v>
      </c>
      <c r="I34">
        <v>32.7</v>
      </c>
      <c r="J34">
        <v>19.5168</v>
      </c>
      <c r="K34">
        <v>30.72</v>
      </c>
      <c r="L34">
        <v>32.2</v>
      </c>
      <c r="M34">
        <v>19</v>
      </c>
    </row>
    <row r="35" spans="1:13" ht="15">
      <c r="A35">
        <v>18</v>
      </c>
      <c r="B35">
        <v>7.56</v>
      </c>
      <c r="C35">
        <v>11.04</v>
      </c>
      <c r="D35">
        <v>16.57</v>
      </c>
      <c r="E35">
        <v>3.2684</v>
      </c>
      <c r="F35">
        <v>7.1737</v>
      </c>
      <c r="G35">
        <v>9.54</v>
      </c>
      <c r="H35">
        <v>18.27</v>
      </c>
      <c r="I35">
        <v>33.37</v>
      </c>
      <c r="J35">
        <v>20.1437</v>
      </c>
      <c r="K35">
        <v>31.35</v>
      </c>
      <c r="L35">
        <v>32.47</v>
      </c>
      <c r="M35">
        <v>18</v>
      </c>
    </row>
    <row r="36" spans="1:13" ht="15">
      <c r="A36">
        <v>17</v>
      </c>
      <c r="B36">
        <v>7.69</v>
      </c>
      <c r="C36">
        <v>11.25</v>
      </c>
      <c r="D36">
        <v>16.75</v>
      </c>
      <c r="E36">
        <v>3.3126</v>
      </c>
      <c r="F36">
        <v>7.2605</v>
      </c>
      <c r="G36">
        <v>9.77</v>
      </c>
      <c r="H36">
        <v>18.66</v>
      </c>
      <c r="I36">
        <v>34.05</v>
      </c>
      <c r="J36">
        <v>20.3705</v>
      </c>
      <c r="K36">
        <v>31.98</v>
      </c>
      <c r="L36">
        <v>32.74</v>
      </c>
      <c r="M36">
        <v>17</v>
      </c>
    </row>
    <row r="37" spans="1:13" ht="15">
      <c r="A37">
        <v>16</v>
      </c>
      <c r="B37">
        <v>7.83</v>
      </c>
      <c r="C37">
        <v>11.45</v>
      </c>
      <c r="D37">
        <v>16.98</v>
      </c>
      <c r="E37">
        <v>3.3568</v>
      </c>
      <c r="F37">
        <v>7.3474</v>
      </c>
      <c r="G37">
        <v>10</v>
      </c>
      <c r="H37">
        <v>19.05</v>
      </c>
      <c r="I37">
        <v>34.72</v>
      </c>
      <c r="J37">
        <v>20.5974</v>
      </c>
      <c r="K37">
        <v>32.61</v>
      </c>
      <c r="L37">
        <v>33</v>
      </c>
      <c r="M37">
        <v>16</v>
      </c>
    </row>
    <row r="38" spans="1:13" ht="15">
      <c r="A38">
        <v>15</v>
      </c>
      <c r="B38">
        <v>7.96</v>
      </c>
      <c r="C38">
        <v>11.65</v>
      </c>
      <c r="D38">
        <v>17.22</v>
      </c>
      <c r="E38">
        <v>3.4011</v>
      </c>
      <c r="F38">
        <v>7.4342</v>
      </c>
      <c r="G38">
        <v>10.22</v>
      </c>
      <c r="H38">
        <v>19.43</v>
      </c>
      <c r="I38">
        <v>35.39</v>
      </c>
      <c r="J38">
        <v>21.2242</v>
      </c>
      <c r="K38">
        <v>33.24</v>
      </c>
      <c r="L38">
        <v>33.27</v>
      </c>
      <c r="M38">
        <v>15</v>
      </c>
    </row>
    <row r="39" spans="1:13" ht="15">
      <c r="A39">
        <v>14</v>
      </c>
      <c r="B39">
        <v>8.09</v>
      </c>
      <c r="C39">
        <v>11.85</v>
      </c>
      <c r="D39">
        <v>17.45</v>
      </c>
      <c r="E39">
        <v>3.4453</v>
      </c>
      <c r="F39">
        <v>7.5211</v>
      </c>
      <c r="G39">
        <v>10.45</v>
      </c>
      <c r="H39">
        <v>19.82</v>
      </c>
      <c r="I39">
        <v>36.06</v>
      </c>
      <c r="J39">
        <v>21.4511</v>
      </c>
      <c r="K39">
        <v>33.87</v>
      </c>
      <c r="L39">
        <v>33.54</v>
      </c>
      <c r="M39">
        <v>14</v>
      </c>
    </row>
    <row r="40" spans="1:13" ht="15">
      <c r="A40">
        <v>13</v>
      </c>
      <c r="B40">
        <v>8.22</v>
      </c>
      <c r="C40">
        <v>12.05</v>
      </c>
      <c r="D40">
        <v>17.68</v>
      </c>
      <c r="E40">
        <v>3.4895</v>
      </c>
      <c r="F40">
        <v>8.0079</v>
      </c>
      <c r="G40">
        <v>10.68</v>
      </c>
      <c r="H40">
        <v>20.2</v>
      </c>
      <c r="I40">
        <v>36.73</v>
      </c>
      <c r="J40">
        <v>22.0779</v>
      </c>
      <c r="K40">
        <v>34.5</v>
      </c>
      <c r="L40">
        <v>33.81</v>
      </c>
      <c r="M40">
        <v>13</v>
      </c>
    </row>
    <row r="41" spans="1:13" ht="15">
      <c r="A41">
        <v>12</v>
      </c>
      <c r="B41">
        <v>8.35</v>
      </c>
      <c r="C41">
        <v>12.26</v>
      </c>
      <c r="D41">
        <v>17.92</v>
      </c>
      <c r="E41">
        <v>3.5337</v>
      </c>
      <c r="F41">
        <v>8.0947</v>
      </c>
      <c r="G41">
        <v>10.9</v>
      </c>
      <c r="H41">
        <v>20.59</v>
      </c>
      <c r="I41">
        <v>37.41</v>
      </c>
      <c r="J41">
        <v>22.3047</v>
      </c>
      <c r="K41">
        <v>35.13</v>
      </c>
      <c r="L41">
        <v>34.08</v>
      </c>
      <c r="M41">
        <v>12</v>
      </c>
    </row>
    <row r="42" spans="1:13" ht="15">
      <c r="A42">
        <v>11</v>
      </c>
      <c r="B42">
        <v>8.48</v>
      </c>
      <c r="C42">
        <v>12.46</v>
      </c>
      <c r="D42">
        <v>18.15</v>
      </c>
      <c r="E42">
        <v>3.5779</v>
      </c>
      <c r="F42">
        <v>8.1816</v>
      </c>
      <c r="G42">
        <v>11.13</v>
      </c>
      <c r="H42">
        <v>20.98</v>
      </c>
      <c r="I42">
        <v>38.08</v>
      </c>
      <c r="J42">
        <v>22.5316</v>
      </c>
      <c r="K42">
        <v>35.76</v>
      </c>
      <c r="L42">
        <v>34.35</v>
      </c>
      <c r="M42">
        <v>11</v>
      </c>
    </row>
    <row r="43" spans="1:13" ht="15">
      <c r="A43">
        <v>10</v>
      </c>
      <c r="B43">
        <v>8.62</v>
      </c>
      <c r="C43">
        <v>12.66</v>
      </c>
      <c r="D43">
        <v>18.47</v>
      </c>
      <c r="E43">
        <v>4.0221</v>
      </c>
      <c r="F43">
        <v>8.2684</v>
      </c>
      <c r="G43">
        <v>11.36</v>
      </c>
      <c r="H43">
        <v>21.36</v>
      </c>
      <c r="I43">
        <v>38.75</v>
      </c>
      <c r="J43">
        <v>23.1584</v>
      </c>
      <c r="K43">
        <v>36.39</v>
      </c>
      <c r="L43">
        <v>34.61</v>
      </c>
      <c r="M43">
        <v>10</v>
      </c>
    </row>
    <row r="44" spans="1:13" ht="15">
      <c r="A44">
        <v>9</v>
      </c>
      <c r="B44">
        <v>8.75</v>
      </c>
      <c r="C44">
        <v>12.86</v>
      </c>
      <c r="D44">
        <v>18.78</v>
      </c>
      <c r="E44">
        <v>4.0663</v>
      </c>
      <c r="F44">
        <v>8.3553</v>
      </c>
      <c r="G44">
        <v>11.59</v>
      </c>
      <c r="H44">
        <v>21.75</v>
      </c>
      <c r="I44">
        <v>39.42</v>
      </c>
      <c r="J44">
        <v>23.3853</v>
      </c>
      <c r="K44">
        <v>37.02</v>
      </c>
      <c r="L44">
        <v>34.88</v>
      </c>
      <c r="M44">
        <v>9</v>
      </c>
    </row>
    <row r="45" spans="1:13" ht="15">
      <c r="A45">
        <v>8</v>
      </c>
      <c r="B45">
        <v>8.88</v>
      </c>
      <c r="C45">
        <v>13.07</v>
      </c>
      <c r="D45">
        <v>19.09</v>
      </c>
      <c r="E45">
        <v>4.1105</v>
      </c>
      <c r="F45">
        <v>8.4421</v>
      </c>
      <c r="G45">
        <v>11.81</v>
      </c>
      <c r="H45">
        <v>22.14</v>
      </c>
      <c r="I45">
        <v>40.1</v>
      </c>
      <c r="J45">
        <v>24.0121</v>
      </c>
      <c r="K45">
        <v>37.65</v>
      </c>
      <c r="L45">
        <v>35.15</v>
      </c>
      <c r="M45">
        <v>8</v>
      </c>
    </row>
    <row r="46" spans="1:13" ht="15">
      <c r="A46">
        <v>7</v>
      </c>
      <c r="B46">
        <v>9.01</v>
      </c>
      <c r="C46">
        <v>13.27</v>
      </c>
      <c r="D46">
        <v>19.4</v>
      </c>
      <c r="E46">
        <v>4.1547</v>
      </c>
      <c r="F46">
        <v>8.5289</v>
      </c>
      <c r="G46">
        <v>12.04</v>
      </c>
      <c r="H46">
        <v>22.52</v>
      </c>
      <c r="I46">
        <v>40.77</v>
      </c>
      <c r="J46">
        <v>24.2389</v>
      </c>
      <c r="K46">
        <v>38.28</v>
      </c>
      <c r="L46">
        <v>35.42</v>
      </c>
      <c r="M46">
        <v>7</v>
      </c>
    </row>
    <row r="47" spans="1:13" ht="15">
      <c r="A47">
        <v>6</v>
      </c>
      <c r="B47">
        <v>9.14</v>
      </c>
      <c r="C47">
        <v>13.47</v>
      </c>
      <c r="D47">
        <v>19.91</v>
      </c>
      <c r="E47">
        <v>4.1989</v>
      </c>
      <c r="F47">
        <v>9.0158</v>
      </c>
      <c r="G47">
        <v>12.27</v>
      </c>
      <c r="H47">
        <v>22.91</v>
      </c>
      <c r="I47">
        <v>41.44</v>
      </c>
      <c r="J47">
        <v>24.4658</v>
      </c>
      <c r="K47">
        <v>38.91</v>
      </c>
      <c r="L47">
        <v>35.69</v>
      </c>
      <c r="M47">
        <v>6</v>
      </c>
    </row>
    <row r="48" spans="1:13" ht="15">
      <c r="A48">
        <v>5</v>
      </c>
      <c r="B48">
        <v>9.27</v>
      </c>
      <c r="C48">
        <v>13.67</v>
      </c>
      <c r="D48">
        <v>20.61</v>
      </c>
      <c r="E48">
        <v>4.2432</v>
      </c>
      <c r="F48">
        <v>9.1026</v>
      </c>
      <c r="G48">
        <v>12.49</v>
      </c>
      <c r="H48">
        <v>23.29</v>
      </c>
      <c r="I48">
        <v>42.11</v>
      </c>
      <c r="J48">
        <v>25.0926</v>
      </c>
      <c r="K48">
        <v>39.54</v>
      </c>
      <c r="L48">
        <v>35.96</v>
      </c>
      <c r="M48">
        <v>5</v>
      </c>
    </row>
    <row r="49" spans="1:13" ht="15">
      <c r="A49">
        <v>4</v>
      </c>
      <c r="B49">
        <v>9.41</v>
      </c>
      <c r="C49">
        <v>13.87</v>
      </c>
      <c r="D49">
        <v>21.16</v>
      </c>
      <c r="E49">
        <v>4.2874</v>
      </c>
      <c r="F49">
        <v>9.1895</v>
      </c>
      <c r="G49">
        <v>12.72</v>
      </c>
      <c r="H49">
        <v>23.68</v>
      </c>
      <c r="I49">
        <v>42.78</v>
      </c>
      <c r="J49">
        <v>25.3195</v>
      </c>
      <c r="K49">
        <v>40.17</v>
      </c>
      <c r="L49">
        <v>36.22</v>
      </c>
      <c r="M49">
        <v>4</v>
      </c>
    </row>
    <row r="50" spans="1:13" ht="15">
      <c r="A50">
        <v>3</v>
      </c>
      <c r="B50">
        <v>9.54</v>
      </c>
      <c r="C50">
        <v>14.08</v>
      </c>
      <c r="D50">
        <v>21.52</v>
      </c>
      <c r="E50">
        <v>4.3316</v>
      </c>
      <c r="F50">
        <v>9.2763</v>
      </c>
      <c r="G50">
        <v>12.95</v>
      </c>
      <c r="H50">
        <v>24.07</v>
      </c>
      <c r="I50">
        <v>43.46</v>
      </c>
      <c r="J50">
        <v>25.5463</v>
      </c>
      <c r="K50">
        <v>40.8</v>
      </c>
      <c r="L50">
        <v>36.49</v>
      </c>
      <c r="M50">
        <v>3</v>
      </c>
    </row>
    <row r="51" spans="1:13" ht="15">
      <c r="A51">
        <v>2</v>
      </c>
      <c r="B51">
        <v>9.67</v>
      </c>
      <c r="C51">
        <v>14.28</v>
      </c>
      <c r="D51">
        <v>21.88</v>
      </c>
      <c r="E51">
        <v>4.3758</v>
      </c>
      <c r="F51">
        <v>9.3632</v>
      </c>
      <c r="G51">
        <v>13.17</v>
      </c>
      <c r="H51">
        <v>24.45</v>
      </c>
      <c r="I51">
        <v>44.13</v>
      </c>
      <c r="J51">
        <v>26.1732</v>
      </c>
      <c r="K51">
        <v>41.43</v>
      </c>
      <c r="L51">
        <v>36.76</v>
      </c>
      <c r="M51">
        <v>2</v>
      </c>
    </row>
    <row r="52" spans="1:13" ht="15">
      <c r="A52">
        <v>1</v>
      </c>
      <c r="B52">
        <v>9.8</v>
      </c>
      <c r="C52">
        <v>14.48</v>
      </c>
      <c r="D52">
        <v>22.24</v>
      </c>
      <c r="E52">
        <v>4.42</v>
      </c>
      <c r="F52">
        <v>9.45</v>
      </c>
      <c r="G52">
        <v>13.4</v>
      </c>
      <c r="H52">
        <v>24.84</v>
      </c>
      <c r="I52">
        <v>44.8</v>
      </c>
      <c r="J52">
        <v>26.4</v>
      </c>
      <c r="K52">
        <v>42.06</v>
      </c>
      <c r="L52">
        <v>37.03</v>
      </c>
      <c r="M52">
        <v>1</v>
      </c>
    </row>
  </sheetData>
  <sheetProtection password="D2F3"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J45"/>
  <sheetViews>
    <sheetView workbookViewId="0" topLeftCell="A2">
      <selection activeCell="A8" sqref="A8:C38"/>
    </sheetView>
  </sheetViews>
  <sheetFormatPr defaultColWidth="11.421875" defaultRowHeight="15"/>
  <cols>
    <col min="1" max="1" width="23.8515625" style="0" customWidth="1"/>
    <col min="2" max="2" width="22.8515625" style="0" customWidth="1"/>
    <col min="3" max="3" width="18.28125" style="0" customWidth="1"/>
    <col min="4" max="4" width="18.00390625" style="2" customWidth="1"/>
    <col min="5" max="5" width="12.57421875" style="74" customWidth="1"/>
    <col min="6" max="7" width="12.57421875" style="0" customWidth="1"/>
    <col min="8" max="8" width="13.28125" style="2" customWidth="1"/>
    <col min="9" max="9" width="13.28125" style="0" customWidth="1"/>
    <col min="10" max="10" width="36.421875" style="0" customWidth="1"/>
    <col min="11" max="12" width="23.00390625" style="0" hidden="1" customWidth="1"/>
    <col min="13" max="13" width="18.28125" style="0" hidden="1" customWidth="1"/>
    <col min="14" max="15" width="11.421875" style="0" hidden="1" customWidth="1"/>
    <col min="16" max="16" width="39.140625" style="0" hidden="1" customWidth="1"/>
    <col min="17" max="25" width="11.421875" style="0" hidden="1" customWidth="1"/>
    <col min="26" max="27" width="11.421875" style="2" hidden="1" customWidth="1"/>
    <col min="28" max="36" width="11.421875" style="0" hidden="1" customWidth="1"/>
  </cols>
  <sheetData>
    <row r="1" spans="1:10" ht="171" customHeight="1" thickBot="1">
      <c r="A1" s="5"/>
      <c r="B1" s="6"/>
      <c r="C1" s="6"/>
      <c r="D1" s="7"/>
      <c r="E1" s="113"/>
      <c r="F1" s="6"/>
      <c r="G1" s="6"/>
      <c r="H1" s="7"/>
      <c r="I1" s="8"/>
      <c r="J1" s="30"/>
    </row>
    <row r="2" spans="1:32" ht="12" customHeight="1">
      <c r="A2" s="197" t="s">
        <v>77</v>
      </c>
      <c r="B2" s="198"/>
      <c r="C2" s="198"/>
      <c r="D2" s="198"/>
      <c r="E2" s="198"/>
      <c r="F2" s="198"/>
      <c r="G2" s="198"/>
      <c r="H2" s="198"/>
      <c r="I2" s="199"/>
      <c r="J2" s="31"/>
      <c r="K2" s="197" t="s">
        <v>77</v>
      </c>
      <c r="L2" s="198"/>
      <c r="M2" s="198"/>
      <c r="N2" s="198"/>
      <c r="O2" s="198"/>
      <c r="P2" s="198"/>
      <c r="Q2" s="198"/>
      <c r="R2" s="198"/>
      <c r="S2" s="198"/>
      <c r="T2" s="198"/>
      <c r="U2" s="199"/>
      <c r="V2" s="31"/>
      <c r="AD2" t="s">
        <v>79</v>
      </c>
      <c r="AF2" t="s">
        <v>80</v>
      </c>
    </row>
    <row r="3" spans="1:36" ht="14.25" customHeight="1" thickBot="1">
      <c r="A3" s="200"/>
      <c r="B3" s="201"/>
      <c r="C3" s="201"/>
      <c r="D3" s="201"/>
      <c r="E3" s="201"/>
      <c r="F3" s="201"/>
      <c r="G3" s="201"/>
      <c r="H3" s="201"/>
      <c r="I3" s="202"/>
      <c r="J3" s="31"/>
      <c r="K3" s="200"/>
      <c r="L3" s="201"/>
      <c r="M3" s="201"/>
      <c r="N3" s="201"/>
      <c r="O3" s="201"/>
      <c r="P3" s="201"/>
      <c r="Q3" s="201"/>
      <c r="R3" s="201"/>
      <c r="S3" s="201"/>
      <c r="T3" s="201"/>
      <c r="U3" s="202"/>
      <c r="V3" s="31"/>
      <c r="AJ3" t="s">
        <v>52</v>
      </c>
    </row>
    <row r="4" spans="1:36" ht="15.75" thickBot="1">
      <c r="A4" s="21" t="s">
        <v>78</v>
      </c>
      <c r="B4" s="22" t="s">
        <v>79</v>
      </c>
      <c r="C4" s="203" t="str">
        <f>AF2</f>
        <v>1 Saut + 1 Lancer + 1 Course</v>
      </c>
      <c r="D4" s="204"/>
      <c r="E4" s="208"/>
      <c r="F4" s="208"/>
      <c r="G4" s="208"/>
      <c r="H4" s="209"/>
      <c r="I4" s="9"/>
      <c r="J4" s="30"/>
      <c r="K4" s="21" t="s">
        <v>90</v>
      </c>
      <c r="L4" s="22"/>
      <c r="M4" s="203" t="str">
        <f>IF(L4="Généraliste ",AF8,IF(L4="Technique ",AF10,IF(L4="Spécial ",AF11,"Veuillez sélectionner le Type de Triathlon")))</f>
        <v>Veuillez sélectionner le Type de Triathlon</v>
      </c>
      <c r="N4" s="204"/>
      <c r="O4" s="205"/>
      <c r="P4" s="23" t="s">
        <v>62</v>
      </c>
      <c r="Q4" s="206"/>
      <c r="R4" s="206"/>
      <c r="S4" s="206"/>
      <c r="T4" s="207"/>
      <c r="U4" s="9"/>
      <c r="V4" s="30"/>
      <c r="AD4" t="s">
        <v>81</v>
      </c>
      <c r="AF4" t="s">
        <v>83</v>
      </c>
      <c r="AJ4" t="s">
        <v>53</v>
      </c>
    </row>
    <row r="5" spans="1:36" ht="15">
      <c r="A5" s="18" t="s">
        <v>217</v>
      </c>
      <c r="B5" s="195" t="s">
        <v>61</v>
      </c>
      <c r="C5" s="187"/>
      <c r="D5" s="188"/>
      <c r="E5" s="189"/>
      <c r="F5" s="189"/>
      <c r="G5" s="190"/>
      <c r="H5" s="183" t="s">
        <v>218</v>
      </c>
      <c r="I5" s="184"/>
      <c r="J5" s="30"/>
      <c r="K5" s="18" t="s">
        <v>0</v>
      </c>
      <c r="L5" s="195" t="s">
        <v>61</v>
      </c>
      <c r="M5" s="187"/>
      <c r="N5" s="188"/>
      <c r="O5" s="211"/>
      <c r="P5" s="215" t="s">
        <v>1</v>
      </c>
      <c r="Q5" s="216"/>
      <c r="R5" s="217" t="s">
        <v>2</v>
      </c>
      <c r="S5" s="218"/>
      <c r="T5" s="10" t="s">
        <v>63</v>
      </c>
      <c r="U5" s="9"/>
      <c r="V5" s="30"/>
      <c r="AD5" t="s">
        <v>82</v>
      </c>
      <c r="AF5" s="33" t="s">
        <v>84</v>
      </c>
      <c r="AJ5" t="s">
        <v>54</v>
      </c>
    </row>
    <row r="6" spans="1:36" ht="15.75" thickBot="1">
      <c r="A6" s="42"/>
      <c r="B6" s="196"/>
      <c r="C6" s="191"/>
      <c r="D6" s="192"/>
      <c r="E6" s="193"/>
      <c r="F6" s="193"/>
      <c r="G6" s="194"/>
      <c r="H6" s="185"/>
      <c r="I6" s="186"/>
      <c r="J6" s="30"/>
      <c r="K6" s="24"/>
      <c r="L6" s="210"/>
      <c r="M6" s="212"/>
      <c r="N6" s="213"/>
      <c r="O6" s="214"/>
      <c r="P6" s="219"/>
      <c r="Q6" s="220"/>
      <c r="R6" s="221"/>
      <c r="S6" s="222"/>
      <c r="T6" s="10" t="s">
        <v>64</v>
      </c>
      <c r="U6" s="9"/>
      <c r="V6" s="30"/>
      <c r="W6" t="s">
        <v>10</v>
      </c>
      <c r="AJ6" t="s">
        <v>55</v>
      </c>
    </row>
    <row r="7" spans="1:27" ht="30" customHeight="1" thickBot="1">
      <c r="A7" s="281" t="s">
        <v>3</v>
      </c>
      <c r="B7" s="282" t="s">
        <v>4</v>
      </c>
      <c r="C7" s="282" t="s">
        <v>5</v>
      </c>
      <c r="D7" s="158" t="s">
        <v>7</v>
      </c>
      <c r="E7" s="158" t="s">
        <v>85</v>
      </c>
      <c r="F7" s="158" t="s">
        <v>86</v>
      </c>
      <c r="G7" s="158" t="s">
        <v>87</v>
      </c>
      <c r="H7" s="158" t="s">
        <v>88</v>
      </c>
      <c r="I7" s="159" t="s">
        <v>98</v>
      </c>
      <c r="K7" s="19" t="s">
        <v>3</v>
      </c>
      <c r="L7" s="20" t="s">
        <v>4</v>
      </c>
      <c r="M7" s="20" t="s">
        <v>5</v>
      </c>
      <c r="N7" s="20" t="s">
        <v>7</v>
      </c>
      <c r="O7" s="20" t="s">
        <v>102</v>
      </c>
      <c r="P7" s="20" t="s">
        <v>101</v>
      </c>
      <c r="Q7" s="20" t="s">
        <v>92</v>
      </c>
      <c r="R7" s="20" t="s">
        <v>93</v>
      </c>
      <c r="S7" s="20" t="s">
        <v>94</v>
      </c>
      <c r="T7" s="20" t="s">
        <v>96</v>
      </c>
      <c r="U7" s="20" t="s">
        <v>95</v>
      </c>
      <c r="V7" s="20" t="s">
        <v>97</v>
      </c>
      <c r="W7" s="20" t="s">
        <v>99</v>
      </c>
      <c r="X7" s="20" t="s">
        <v>88</v>
      </c>
      <c r="Y7" s="20" t="s">
        <v>98</v>
      </c>
      <c r="Z7" s="2" t="s">
        <v>215</v>
      </c>
      <c r="AA7" s="2" t="s">
        <v>216</v>
      </c>
    </row>
    <row r="8" spans="1:32" ht="15">
      <c r="A8" s="56"/>
      <c r="B8" s="57"/>
      <c r="C8" s="69"/>
      <c r="D8" s="67" t="s">
        <v>52</v>
      </c>
      <c r="E8" s="116" t="e">
        <f aca="true" t="shared" si="0" ref="E8:E38">_xlfn.IFERROR(Z8,AA8)</f>
        <v>#N/A</v>
      </c>
      <c r="F8" s="116" t="e">
        <f>VLOOKUP(C8,Tableau16[[Licence]:[Points]],9,FALSE)</f>
        <v>#N/A</v>
      </c>
      <c r="G8" s="116" t="e">
        <f>VLOOKUP(C8,Tableau18[[Licence]:[Points]],9,FALSE)</f>
        <v>#N/A</v>
      </c>
      <c r="H8" s="116" t="e">
        <f aca="true" t="shared" si="1" ref="H8:H38">E8+F8+G8</f>
        <v>#N/A</v>
      </c>
      <c r="I8" s="49"/>
      <c r="K8" s="13"/>
      <c r="L8" s="14"/>
      <c r="M8" s="14"/>
      <c r="N8" s="34" t="s">
        <v>54</v>
      </c>
      <c r="O8" s="35" t="s">
        <v>91</v>
      </c>
      <c r="P8" s="40" t="str">
        <f aca="true" t="shared" si="2" ref="P8:P38">IF(O8="Généraliste ",$AF$8,IF(O8="Technique ",$AF$10,IF(O8="Spécial ",$AF$11,"Veuillez sélectionner le Type de Triathlon")))</f>
        <v>1 Saut + 1 Lancer + 1 Course</v>
      </c>
      <c r="Q8" s="27"/>
      <c r="R8" s="27"/>
      <c r="S8" s="27"/>
      <c r="T8" s="27"/>
      <c r="U8" s="27"/>
      <c r="V8" s="27"/>
      <c r="W8" s="27"/>
      <c r="X8" s="27"/>
      <c r="Y8" s="26"/>
      <c r="Z8" s="114" t="e">
        <f>(VLOOKUP(C8,Tableau17[[Licence]:[Points]],9,FALSE))</f>
        <v>#N/A</v>
      </c>
      <c r="AA8" s="114" t="e">
        <f>(VLOOKUP(C8,Tableau110[[Licence]:[Points]],16,FALSE))</f>
        <v>#N/A</v>
      </c>
      <c r="AD8" t="s">
        <v>91</v>
      </c>
      <c r="AF8" t="s">
        <v>80</v>
      </c>
    </row>
    <row r="9" spans="1:36" ht="15">
      <c r="A9" s="60"/>
      <c r="B9" s="46"/>
      <c r="C9" s="70"/>
      <c r="D9" s="67" t="s">
        <v>52</v>
      </c>
      <c r="E9" s="117" t="e">
        <f t="shared" si="0"/>
        <v>#N/A</v>
      </c>
      <c r="F9" s="117" t="e">
        <f>VLOOKUP(C9,Tableau16[[Licence]:[Points]],9,FALSE)</f>
        <v>#N/A</v>
      </c>
      <c r="G9" s="117" t="e">
        <f>VLOOKUP(C9,Tableau18[[Licence]:[Points]],9,FALSE)</f>
        <v>#N/A</v>
      </c>
      <c r="H9" s="117" t="e">
        <f t="shared" si="1"/>
        <v>#N/A</v>
      </c>
      <c r="I9" s="49"/>
      <c r="K9" s="13"/>
      <c r="L9" s="14"/>
      <c r="M9" s="14"/>
      <c r="N9" s="36" t="s">
        <v>54</v>
      </c>
      <c r="O9" s="37" t="s">
        <v>81</v>
      </c>
      <c r="P9" s="40" t="str">
        <f t="shared" si="2"/>
        <v>2 concours, 1 course.</v>
      </c>
      <c r="Q9" s="14"/>
      <c r="R9" s="14"/>
      <c r="S9" s="14"/>
      <c r="T9" s="14"/>
      <c r="U9" s="14"/>
      <c r="V9" s="14"/>
      <c r="W9" s="14"/>
      <c r="X9" s="14"/>
      <c r="Y9" s="26"/>
      <c r="Z9" s="114" t="e">
        <f>(VLOOKUP(C9,Tableau17[[Licence]:[Points]],9,FALSE))</f>
        <v>#N/A</v>
      </c>
      <c r="AA9" s="114" t="e">
        <f>(VLOOKUP(C9,Tableau110[[Licence]:[Points]],16,FALSE))</f>
        <v>#N/A</v>
      </c>
      <c r="AJ9" t="s">
        <v>52</v>
      </c>
    </row>
    <row r="10" spans="1:36" ht="15">
      <c r="A10" s="60"/>
      <c r="B10" s="46"/>
      <c r="C10" s="70"/>
      <c r="D10" s="67" t="s">
        <v>52</v>
      </c>
      <c r="E10" s="117" t="e">
        <f t="shared" si="0"/>
        <v>#N/A</v>
      </c>
      <c r="F10" s="117" t="e">
        <f>VLOOKUP(C10,Tableau16[[Licence]:[Points]],9,FALSE)</f>
        <v>#N/A</v>
      </c>
      <c r="G10" s="117" t="e">
        <f>VLOOKUP(C10,Tableau18[[Licence]:[Points]],9,FALSE)</f>
        <v>#N/A</v>
      </c>
      <c r="H10" s="117" t="e">
        <f t="shared" si="1"/>
        <v>#N/A</v>
      </c>
      <c r="I10" s="49"/>
      <c r="K10" s="13"/>
      <c r="L10" s="14"/>
      <c r="M10" s="14"/>
      <c r="N10" s="36" t="s">
        <v>54</v>
      </c>
      <c r="O10" s="37" t="s">
        <v>82</v>
      </c>
      <c r="P10" s="40" t="str">
        <f t="shared" si="2"/>
        <v xml:space="preserve">1000m ou Marche, 1 concours, 1 épreuve libre </v>
      </c>
      <c r="Q10" s="14"/>
      <c r="R10" s="14"/>
      <c r="S10" s="14"/>
      <c r="T10" s="14"/>
      <c r="U10" s="14"/>
      <c r="V10" s="14"/>
      <c r="W10" s="14"/>
      <c r="X10" s="14"/>
      <c r="Y10" s="26"/>
      <c r="Z10" s="114" t="e">
        <f>(VLOOKUP(C10,Tableau17[[Licence]:[Points]],9,FALSE))</f>
        <v>#N/A</v>
      </c>
      <c r="AA10" s="114" t="e">
        <f>(VLOOKUP(C10,Tableau110[[Licence]:[Points]],16,FALSE))</f>
        <v>#N/A</v>
      </c>
      <c r="AD10" t="s">
        <v>81</v>
      </c>
      <c r="AF10" t="s">
        <v>83</v>
      </c>
      <c r="AJ10" t="s">
        <v>53</v>
      </c>
    </row>
    <row r="11" spans="1:36" ht="15">
      <c r="A11" s="60"/>
      <c r="B11" s="46"/>
      <c r="C11" s="70"/>
      <c r="D11" s="67" t="s">
        <v>52</v>
      </c>
      <c r="E11" s="117" t="e">
        <f t="shared" si="0"/>
        <v>#N/A</v>
      </c>
      <c r="F11" s="117" t="e">
        <f>VLOOKUP(C11,Tableau16[[Licence]:[Points]],9,FALSE)</f>
        <v>#N/A</v>
      </c>
      <c r="G11" s="117" t="e">
        <f>VLOOKUP(C11,Tableau18[[Licence]:[Points]],9,FALSE)</f>
        <v>#N/A</v>
      </c>
      <c r="H11" s="117" t="e">
        <f t="shared" si="1"/>
        <v>#N/A</v>
      </c>
      <c r="I11" s="49"/>
      <c r="K11" s="13"/>
      <c r="L11" s="14"/>
      <c r="M11" s="14"/>
      <c r="N11" s="36" t="s">
        <v>54</v>
      </c>
      <c r="O11" s="37"/>
      <c r="P11" s="40" t="str">
        <f t="shared" si="2"/>
        <v>Veuillez sélectionner le Type de Triathlon</v>
      </c>
      <c r="Q11" s="14"/>
      <c r="R11" s="14"/>
      <c r="S11" s="14"/>
      <c r="T11" s="14"/>
      <c r="U11" s="14"/>
      <c r="V11" s="14"/>
      <c r="W11" s="14"/>
      <c r="X11" s="14"/>
      <c r="Y11" s="26"/>
      <c r="Z11" s="114" t="e">
        <f>(VLOOKUP(C11,Tableau17[[Licence]:[Points]],9,FALSE))</f>
        <v>#N/A</v>
      </c>
      <c r="AA11" s="114" t="e">
        <f>(VLOOKUP(C11,Tableau110[[Licence]:[Points]],16,FALSE))</f>
        <v>#N/A</v>
      </c>
      <c r="AD11" t="s">
        <v>82</v>
      </c>
      <c r="AF11" s="33" t="s">
        <v>100</v>
      </c>
      <c r="AJ11" t="s">
        <v>54</v>
      </c>
    </row>
    <row r="12" spans="1:36" ht="15">
      <c r="A12" s="60"/>
      <c r="B12" s="46"/>
      <c r="C12" s="70"/>
      <c r="D12" s="67" t="s">
        <v>52</v>
      </c>
      <c r="E12" s="117" t="e">
        <f t="shared" si="0"/>
        <v>#N/A</v>
      </c>
      <c r="F12" s="117" t="e">
        <f>VLOOKUP(C12,Tableau16[[Licence]:[Points]],9,FALSE)</f>
        <v>#N/A</v>
      </c>
      <c r="G12" s="117" t="e">
        <f>VLOOKUP(C12,Tableau18[[Licence]:[Points]],9,FALSE)</f>
        <v>#N/A</v>
      </c>
      <c r="H12" s="117" t="e">
        <f t="shared" si="1"/>
        <v>#N/A</v>
      </c>
      <c r="I12" s="49"/>
      <c r="K12" s="13"/>
      <c r="L12" s="14"/>
      <c r="M12" s="14"/>
      <c r="N12" s="36" t="s">
        <v>54</v>
      </c>
      <c r="O12" s="37" t="s">
        <v>91</v>
      </c>
      <c r="P12" s="40" t="str">
        <f t="shared" si="2"/>
        <v>1 Saut + 1 Lancer + 1 Course</v>
      </c>
      <c r="Q12" s="14"/>
      <c r="R12" s="14"/>
      <c r="S12" s="14"/>
      <c r="T12" s="14"/>
      <c r="U12" s="14"/>
      <c r="V12" s="14"/>
      <c r="W12" s="14"/>
      <c r="X12" s="14"/>
      <c r="Y12" s="26"/>
      <c r="Z12" s="114" t="e">
        <f>(VLOOKUP(C12,Tableau17[[Licence]:[Points]],9,FALSE))</f>
        <v>#N/A</v>
      </c>
      <c r="AA12" s="114" t="e">
        <f>(VLOOKUP(C12,Tableau110[[Licence]:[Points]],16,FALSE))</f>
        <v>#N/A</v>
      </c>
      <c r="AJ12" t="s">
        <v>55</v>
      </c>
    </row>
    <row r="13" spans="1:27" ht="15">
      <c r="A13" s="60"/>
      <c r="B13" s="46"/>
      <c r="C13" s="70"/>
      <c r="D13" s="67" t="s">
        <v>52</v>
      </c>
      <c r="E13" s="117" t="e">
        <f t="shared" si="0"/>
        <v>#N/A</v>
      </c>
      <c r="F13" s="117" t="e">
        <f>VLOOKUP(C13,Tableau16[[Licence]:[Points]],9,FALSE)</f>
        <v>#N/A</v>
      </c>
      <c r="G13" s="117" t="e">
        <f>VLOOKUP(C13,Tableau18[[Licence]:[Points]],9,FALSE)</f>
        <v>#N/A</v>
      </c>
      <c r="H13" s="117" t="e">
        <f t="shared" si="1"/>
        <v>#N/A</v>
      </c>
      <c r="I13" s="49"/>
      <c r="K13" s="13"/>
      <c r="L13" s="14"/>
      <c r="M13" s="14"/>
      <c r="N13" s="36" t="s">
        <v>54</v>
      </c>
      <c r="O13" s="37" t="s">
        <v>91</v>
      </c>
      <c r="P13" s="40" t="str">
        <f t="shared" si="2"/>
        <v>1 Saut + 1 Lancer + 1 Course</v>
      </c>
      <c r="Q13" s="14"/>
      <c r="R13" s="14"/>
      <c r="S13" s="14"/>
      <c r="T13" s="14"/>
      <c r="U13" s="14"/>
      <c r="V13" s="14"/>
      <c r="W13" s="14"/>
      <c r="X13" s="14"/>
      <c r="Y13" s="26"/>
      <c r="Z13" s="114" t="e">
        <f>(VLOOKUP(C13,Tableau17[[Licence]:[Points]],9,FALSE))</f>
        <v>#N/A</v>
      </c>
      <c r="AA13" s="114" t="e">
        <f>(VLOOKUP(C13,Tableau110[[Licence]:[Points]],16,FALSE))</f>
        <v>#N/A</v>
      </c>
    </row>
    <row r="14" spans="1:27" ht="15">
      <c r="A14" s="60"/>
      <c r="B14" s="46"/>
      <c r="C14" s="70"/>
      <c r="D14" s="67" t="s">
        <v>52</v>
      </c>
      <c r="E14" s="117" t="e">
        <f t="shared" si="0"/>
        <v>#N/A</v>
      </c>
      <c r="F14" s="117" t="e">
        <f>VLOOKUP(C14,Tableau16[[Licence]:[Points]],9,FALSE)</f>
        <v>#N/A</v>
      </c>
      <c r="G14" s="117" t="e">
        <f>VLOOKUP(C14,Tableau18[[Licence]:[Points]],9,FALSE)</f>
        <v>#N/A</v>
      </c>
      <c r="H14" s="117" t="e">
        <f t="shared" si="1"/>
        <v>#N/A</v>
      </c>
      <c r="I14" s="49"/>
      <c r="K14" s="13"/>
      <c r="L14" s="14"/>
      <c r="M14" s="14"/>
      <c r="N14" s="36" t="s">
        <v>54</v>
      </c>
      <c r="O14" s="37" t="s">
        <v>91</v>
      </c>
      <c r="P14" s="40" t="str">
        <f t="shared" si="2"/>
        <v>1 Saut + 1 Lancer + 1 Course</v>
      </c>
      <c r="Q14" s="14"/>
      <c r="R14" s="14"/>
      <c r="S14" s="14"/>
      <c r="T14" s="14"/>
      <c r="U14" s="14"/>
      <c r="V14" s="14"/>
      <c r="W14" s="14"/>
      <c r="X14" s="14"/>
      <c r="Y14" s="26"/>
      <c r="Z14" s="114" t="e">
        <f>(VLOOKUP(C14,Tableau17[[Licence]:[Points]],9,FALSE))</f>
        <v>#N/A</v>
      </c>
      <c r="AA14" s="114" t="e">
        <f>(VLOOKUP(C14,Tableau110[[Licence]:[Points]],16,FALSE))</f>
        <v>#N/A</v>
      </c>
    </row>
    <row r="15" spans="1:27" ht="15">
      <c r="A15" s="60"/>
      <c r="B15" s="46"/>
      <c r="C15" s="70"/>
      <c r="D15" s="67" t="s">
        <v>52</v>
      </c>
      <c r="E15" s="117" t="e">
        <f t="shared" si="0"/>
        <v>#N/A</v>
      </c>
      <c r="F15" s="117" t="e">
        <f>VLOOKUP(C15,Tableau16[[Licence]:[Points]],9,FALSE)</f>
        <v>#N/A</v>
      </c>
      <c r="G15" s="117" t="e">
        <f>VLOOKUP(C15,Tableau18[[Licence]:[Points]],9,FALSE)</f>
        <v>#N/A</v>
      </c>
      <c r="H15" s="117" t="e">
        <f t="shared" si="1"/>
        <v>#N/A</v>
      </c>
      <c r="I15" s="49"/>
      <c r="K15" s="13"/>
      <c r="L15" s="14"/>
      <c r="M15" s="14"/>
      <c r="N15" s="36" t="s">
        <v>54</v>
      </c>
      <c r="O15" s="37" t="s">
        <v>91</v>
      </c>
      <c r="P15" s="40" t="str">
        <f t="shared" si="2"/>
        <v>1 Saut + 1 Lancer + 1 Course</v>
      </c>
      <c r="Q15" s="14"/>
      <c r="R15" s="14"/>
      <c r="S15" s="14"/>
      <c r="T15" s="14"/>
      <c r="U15" s="14"/>
      <c r="V15" s="14"/>
      <c r="W15" s="14"/>
      <c r="X15" s="14"/>
      <c r="Y15" s="26"/>
      <c r="Z15" s="114" t="e">
        <f>(VLOOKUP(C15,Tableau17[[Licence]:[Points]],9,FALSE))</f>
        <v>#N/A</v>
      </c>
      <c r="AA15" s="114" t="e">
        <f>(VLOOKUP(C15,Tableau110[[Licence]:[Points]],16,FALSE))</f>
        <v>#N/A</v>
      </c>
    </row>
    <row r="16" spans="1:27" ht="15">
      <c r="A16" s="60"/>
      <c r="B16" s="46"/>
      <c r="C16" s="70"/>
      <c r="D16" s="67" t="s">
        <v>52</v>
      </c>
      <c r="E16" s="117" t="e">
        <f t="shared" si="0"/>
        <v>#N/A</v>
      </c>
      <c r="F16" s="117" t="e">
        <f>VLOOKUP(C16,Tableau16[[Licence]:[Points]],9,FALSE)</f>
        <v>#N/A</v>
      </c>
      <c r="G16" s="117" t="e">
        <f>VLOOKUP(C16,Tableau18[[Licence]:[Points]],9,FALSE)</f>
        <v>#N/A</v>
      </c>
      <c r="H16" s="117" t="e">
        <f t="shared" si="1"/>
        <v>#N/A</v>
      </c>
      <c r="I16" s="49"/>
      <c r="K16" s="13"/>
      <c r="L16" s="14"/>
      <c r="M16" s="14"/>
      <c r="N16" s="36" t="s">
        <v>54</v>
      </c>
      <c r="O16" s="37" t="s">
        <v>91</v>
      </c>
      <c r="P16" s="40" t="str">
        <f t="shared" si="2"/>
        <v>1 Saut + 1 Lancer + 1 Course</v>
      </c>
      <c r="Q16" s="14"/>
      <c r="R16" s="14"/>
      <c r="S16" s="14"/>
      <c r="T16" s="14"/>
      <c r="U16" s="14"/>
      <c r="V16" s="14"/>
      <c r="W16" s="14"/>
      <c r="X16" s="14"/>
      <c r="Y16" s="26"/>
      <c r="Z16" s="114" t="e">
        <f>(VLOOKUP(C16,Tableau17[[Licence]:[Points]],9,FALSE))</f>
        <v>#N/A</v>
      </c>
      <c r="AA16" s="114" t="e">
        <f>(VLOOKUP(C16,Tableau110[[Licence]:[Points]],16,FALSE))</f>
        <v>#N/A</v>
      </c>
    </row>
    <row r="17" spans="1:27" ht="15">
      <c r="A17" s="60"/>
      <c r="B17" s="46"/>
      <c r="C17" s="70"/>
      <c r="D17" s="67" t="s">
        <v>52</v>
      </c>
      <c r="E17" s="117" t="e">
        <f t="shared" si="0"/>
        <v>#N/A</v>
      </c>
      <c r="F17" s="117" t="e">
        <f>VLOOKUP(C17,Tableau16[[Licence]:[Points]],9,FALSE)</f>
        <v>#N/A</v>
      </c>
      <c r="G17" s="117" t="e">
        <f>VLOOKUP(C17,Tableau18[[Licence]:[Points]],9,FALSE)</f>
        <v>#N/A</v>
      </c>
      <c r="H17" s="117" t="e">
        <f t="shared" si="1"/>
        <v>#N/A</v>
      </c>
      <c r="I17" s="49"/>
      <c r="K17" s="13"/>
      <c r="L17" s="14"/>
      <c r="M17" s="14"/>
      <c r="N17" s="36" t="s">
        <v>54</v>
      </c>
      <c r="O17" s="37" t="s">
        <v>91</v>
      </c>
      <c r="P17" s="40" t="str">
        <f t="shared" si="2"/>
        <v>1 Saut + 1 Lancer + 1 Course</v>
      </c>
      <c r="Q17" s="14"/>
      <c r="R17" s="14"/>
      <c r="S17" s="14"/>
      <c r="T17" s="14"/>
      <c r="U17" s="14"/>
      <c r="V17" s="14"/>
      <c r="W17" s="14"/>
      <c r="X17" s="14"/>
      <c r="Y17" s="26"/>
      <c r="Z17" s="114" t="e">
        <f>(VLOOKUP(C17,Tableau17[[Licence]:[Points]],9,FALSE))</f>
        <v>#N/A</v>
      </c>
      <c r="AA17" s="114" t="e">
        <f>(VLOOKUP(C17,Tableau110[[Licence]:[Points]],16,FALSE))</f>
        <v>#N/A</v>
      </c>
    </row>
    <row r="18" spans="1:27" ht="15">
      <c r="A18" s="60"/>
      <c r="B18" s="46"/>
      <c r="C18" s="70"/>
      <c r="D18" s="67" t="s">
        <v>52</v>
      </c>
      <c r="E18" s="117" t="e">
        <f t="shared" si="0"/>
        <v>#N/A</v>
      </c>
      <c r="F18" s="117" t="e">
        <f>VLOOKUP(C18,Tableau16[[Licence]:[Points]],9,FALSE)</f>
        <v>#N/A</v>
      </c>
      <c r="G18" s="117" t="e">
        <f>VLOOKUP(C18,Tableau18[[Licence]:[Points]],9,FALSE)</f>
        <v>#N/A</v>
      </c>
      <c r="H18" s="117" t="e">
        <f t="shared" si="1"/>
        <v>#N/A</v>
      </c>
      <c r="I18" s="49"/>
      <c r="K18" s="13"/>
      <c r="L18" s="14"/>
      <c r="M18" s="14"/>
      <c r="N18" s="36" t="s">
        <v>54</v>
      </c>
      <c r="O18" s="37" t="s">
        <v>91</v>
      </c>
      <c r="P18" s="40" t="str">
        <f t="shared" si="2"/>
        <v>1 Saut + 1 Lancer + 1 Course</v>
      </c>
      <c r="Q18" s="14"/>
      <c r="R18" s="14"/>
      <c r="S18" s="14"/>
      <c r="T18" s="14"/>
      <c r="U18" s="14"/>
      <c r="V18" s="14"/>
      <c r="W18" s="14"/>
      <c r="X18" s="14"/>
      <c r="Y18" s="26"/>
      <c r="Z18" s="114" t="e">
        <f>(VLOOKUP(C18,Tableau17[[Licence]:[Points]],9,FALSE))</f>
        <v>#N/A</v>
      </c>
      <c r="AA18" s="114" t="e">
        <f>(VLOOKUP(C18,Tableau110[[Licence]:[Points]],16,FALSE))</f>
        <v>#N/A</v>
      </c>
    </row>
    <row r="19" spans="1:27" ht="15">
      <c r="A19" s="60"/>
      <c r="B19" s="46"/>
      <c r="C19" s="70"/>
      <c r="D19" s="67" t="s">
        <v>52</v>
      </c>
      <c r="E19" s="117" t="e">
        <f t="shared" si="0"/>
        <v>#N/A</v>
      </c>
      <c r="F19" s="117" t="e">
        <f>VLOOKUP(C19,Tableau16[[Licence]:[Points]],9,FALSE)</f>
        <v>#N/A</v>
      </c>
      <c r="G19" s="117" t="e">
        <f>VLOOKUP(C19,Tableau18[[Licence]:[Points]],9,FALSE)</f>
        <v>#N/A</v>
      </c>
      <c r="H19" s="117" t="e">
        <f t="shared" si="1"/>
        <v>#N/A</v>
      </c>
      <c r="I19" s="49"/>
      <c r="K19" s="13"/>
      <c r="L19" s="14"/>
      <c r="M19" s="14"/>
      <c r="N19" s="36" t="s">
        <v>54</v>
      </c>
      <c r="O19" s="37" t="s">
        <v>91</v>
      </c>
      <c r="P19" s="40" t="str">
        <f t="shared" si="2"/>
        <v>1 Saut + 1 Lancer + 1 Course</v>
      </c>
      <c r="Q19" s="14"/>
      <c r="R19" s="14"/>
      <c r="S19" s="14"/>
      <c r="T19" s="14"/>
      <c r="U19" s="14"/>
      <c r="V19" s="14"/>
      <c r="W19" s="14"/>
      <c r="X19" s="14"/>
      <c r="Y19" s="26"/>
      <c r="Z19" s="114" t="e">
        <f>(VLOOKUP(C19,Tableau17[[Licence]:[Points]],9,FALSE))</f>
        <v>#N/A</v>
      </c>
      <c r="AA19" s="114" t="e">
        <f>(VLOOKUP(C19,Tableau110[[Licence]:[Points]],16,FALSE))</f>
        <v>#N/A</v>
      </c>
    </row>
    <row r="20" spans="1:27" ht="15">
      <c r="A20" s="60"/>
      <c r="B20" s="46"/>
      <c r="C20" s="70"/>
      <c r="D20" s="67" t="s">
        <v>52</v>
      </c>
      <c r="E20" s="117" t="e">
        <f t="shared" si="0"/>
        <v>#N/A</v>
      </c>
      <c r="F20" s="117" t="e">
        <f>VLOOKUP(C20,Tableau16[[Licence]:[Points]],9,FALSE)</f>
        <v>#N/A</v>
      </c>
      <c r="G20" s="117" t="e">
        <f>VLOOKUP(C20,Tableau18[[Licence]:[Points]],9,FALSE)</f>
        <v>#N/A</v>
      </c>
      <c r="H20" s="117" t="e">
        <f t="shared" si="1"/>
        <v>#N/A</v>
      </c>
      <c r="I20" s="49"/>
      <c r="K20" s="13"/>
      <c r="L20" s="14"/>
      <c r="M20" s="14"/>
      <c r="N20" s="36" t="s">
        <v>54</v>
      </c>
      <c r="O20" s="37" t="s">
        <v>91</v>
      </c>
      <c r="P20" s="40" t="str">
        <f t="shared" si="2"/>
        <v>1 Saut + 1 Lancer + 1 Course</v>
      </c>
      <c r="Q20" s="14"/>
      <c r="R20" s="14"/>
      <c r="S20" s="14"/>
      <c r="T20" s="14"/>
      <c r="U20" s="14"/>
      <c r="V20" s="14"/>
      <c r="W20" s="14"/>
      <c r="X20" s="14"/>
      <c r="Y20" s="26"/>
      <c r="Z20" s="114" t="e">
        <f>(VLOOKUP(C20,Tableau17[[Licence]:[Points]],9,FALSE))</f>
        <v>#N/A</v>
      </c>
      <c r="AA20" s="114" t="e">
        <f>(VLOOKUP(C20,Tableau110[[Licence]:[Points]],16,FALSE))</f>
        <v>#N/A</v>
      </c>
    </row>
    <row r="21" spans="1:27" ht="15">
      <c r="A21" s="60"/>
      <c r="B21" s="46"/>
      <c r="C21" s="70"/>
      <c r="D21" s="67" t="s">
        <v>52</v>
      </c>
      <c r="E21" s="117" t="e">
        <f t="shared" si="0"/>
        <v>#N/A</v>
      </c>
      <c r="F21" s="117" t="e">
        <f>VLOOKUP(C21,Tableau16[[Licence]:[Points]],9,FALSE)</f>
        <v>#N/A</v>
      </c>
      <c r="G21" s="117" t="e">
        <f>VLOOKUP(C21,Tableau18[[Licence]:[Points]],9,FALSE)</f>
        <v>#N/A</v>
      </c>
      <c r="H21" s="117" t="e">
        <f t="shared" si="1"/>
        <v>#N/A</v>
      </c>
      <c r="I21" s="49"/>
      <c r="K21" s="13"/>
      <c r="L21" s="14"/>
      <c r="M21" s="14"/>
      <c r="N21" s="36" t="s">
        <v>54</v>
      </c>
      <c r="O21" s="37" t="s">
        <v>91</v>
      </c>
      <c r="P21" s="40" t="str">
        <f t="shared" si="2"/>
        <v>1 Saut + 1 Lancer + 1 Course</v>
      </c>
      <c r="Q21" s="14"/>
      <c r="R21" s="14"/>
      <c r="S21" s="14"/>
      <c r="T21" s="14"/>
      <c r="U21" s="14"/>
      <c r="V21" s="14"/>
      <c r="W21" s="14"/>
      <c r="X21" s="14"/>
      <c r="Y21" s="26"/>
      <c r="Z21" s="114" t="e">
        <f>(VLOOKUP(C21,Tableau17[[Licence]:[Points]],9,FALSE))</f>
        <v>#N/A</v>
      </c>
      <c r="AA21" s="114" t="e">
        <f>(VLOOKUP(C21,Tableau110[[Licence]:[Points]],16,FALSE))</f>
        <v>#N/A</v>
      </c>
    </row>
    <row r="22" spans="1:27" ht="15">
      <c r="A22" s="60"/>
      <c r="B22" s="46"/>
      <c r="C22" s="70"/>
      <c r="D22" s="67" t="s">
        <v>52</v>
      </c>
      <c r="E22" s="117" t="e">
        <f t="shared" si="0"/>
        <v>#N/A</v>
      </c>
      <c r="F22" s="117" t="e">
        <f>VLOOKUP(C22,Tableau16[[Licence]:[Points]],9,FALSE)</f>
        <v>#N/A</v>
      </c>
      <c r="G22" s="117" t="e">
        <f>VLOOKUP(C22,Tableau18[[Licence]:[Points]],9,FALSE)</f>
        <v>#N/A</v>
      </c>
      <c r="H22" s="117" t="e">
        <f t="shared" si="1"/>
        <v>#N/A</v>
      </c>
      <c r="I22" s="49"/>
      <c r="K22" s="13"/>
      <c r="L22" s="14"/>
      <c r="M22" s="14"/>
      <c r="N22" s="36" t="s">
        <v>54</v>
      </c>
      <c r="O22" s="37" t="s">
        <v>91</v>
      </c>
      <c r="P22" s="40" t="str">
        <f t="shared" si="2"/>
        <v>1 Saut + 1 Lancer + 1 Course</v>
      </c>
      <c r="Q22" s="14"/>
      <c r="R22" s="14"/>
      <c r="S22" s="14"/>
      <c r="T22" s="14"/>
      <c r="U22" s="14"/>
      <c r="V22" s="14"/>
      <c r="W22" s="14"/>
      <c r="X22" s="14"/>
      <c r="Y22" s="26"/>
      <c r="Z22" s="114" t="e">
        <f>(VLOOKUP(C22,Tableau17[[Licence]:[Points]],9,FALSE))</f>
        <v>#N/A</v>
      </c>
      <c r="AA22" s="114" t="e">
        <f>(VLOOKUP(C22,Tableau110[[Licence]:[Points]],16,FALSE))</f>
        <v>#N/A</v>
      </c>
    </row>
    <row r="23" spans="1:27" ht="15">
      <c r="A23" s="60"/>
      <c r="B23" s="46"/>
      <c r="C23" s="70"/>
      <c r="D23" s="67" t="s">
        <v>52</v>
      </c>
      <c r="E23" s="117" t="e">
        <f t="shared" si="0"/>
        <v>#N/A</v>
      </c>
      <c r="F23" s="117" t="e">
        <f>VLOOKUP(C23,Tableau16[[Licence]:[Points]],9,FALSE)</f>
        <v>#N/A</v>
      </c>
      <c r="G23" s="117" t="e">
        <f>VLOOKUP(C23,Tableau18[[Licence]:[Points]],9,FALSE)</f>
        <v>#N/A</v>
      </c>
      <c r="H23" s="117" t="e">
        <f t="shared" si="1"/>
        <v>#N/A</v>
      </c>
      <c r="I23" s="49"/>
      <c r="K23" s="13"/>
      <c r="L23" s="14"/>
      <c r="M23" s="14"/>
      <c r="N23" s="36" t="s">
        <v>54</v>
      </c>
      <c r="O23" s="37" t="s">
        <v>91</v>
      </c>
      <c r="P23" s="40" t="str">
        <f t="shared" si="2"/>
        <v>1 Saut + 1 Lancer + 1 Course</v>
      </c>
      <c r="Q23" s="14"/>
      <c r="R23" s="14"/>
      <c r="S23" s="14"/>
      <c r="T23" s="14"/>
      <c r="U23" s="14"/>
      <c r="V23" s="14"/>
      <c r="W23" s="14"/>
      <c r="X23" s="14"/>
      <c r="Y23" s="26"/>
      <c r="Z23" s="114" t="e">
        <f>(VLOOKUP(C23,Tableau17[[Licence]:[Points]],9,FALSE))</f>
        <v>#N/A</v>
      </c>
      <c r="AA23" s="114" t="e">
        <f>(VLOOKUP(C23,Tableau110[[Licence]:[Points]],16,FALSE))</f>
        <v>#N/A</v>
      </c>
    </row>
    <row r="24" spans="1:27" ht="15">
      <c r="A24" s="60"/>
      <c r="B24" s="46"/>
      <c r="C24" s="70"/>
      <c r="D24" s="67" t="s">
        <v>52</v>
      </c>
      <c r="E24" s="117" t="e">
        <f t="shared" si="0"/>
        <v>#N/A</v>
      </c>
      <c r="F24" s="117" t="e">
        <f>VLOOKUP(C24,Tableau16[[Licence]:[Points]],9,FALSE)</f>
        <v>#N/A</v>
      </c>
      <c r="G24" s="117" t="e">
        <f>VLOOKUP(C24,Tableau18[[Licence]:[Points]],9,FALSE)</f>
        <v>#N/A</v>
      </c>
      <c r="H24" s="117" t="e">
        <f t="shared" si="1"/>
        <v>#N/A</v>
      </c>
      <c r="I24" s="49"/>
      <c r="K24" s="13"/>
      <c r="L24" s="14"/>
      <c r="M24" s="14"/>
      <c r="N24" s="36" t="s">
        <v>54</v>
      </c>
      <c r="O24" s="37" t="s">
        <v>91</v>
      </c>
      <c r="P24" s="40" t="str">
        <f t="shared" si="2"/>
        <v>1 Saut + 1 Lancer + 1 Course</v>
      </c>
      <c r="Q24" s="14"/>
      <c r="R24" s="14"/>
      <c r="S24" s="14"/>
      <c r="T24" s="14"/>
      <c r="U24" s="14"/>
      <c r="V24" s="14"/>
      <c r="W24" s="14"/>
      <c r="X24" s="14"/>
      <c r="Y24" s="26"/>
      <c r="Z24" s="114" t="e">
        <f>(VLOOKUP(C24,Tableau17[[Licence]:[Points]],9,FALSE))</f>
        <v>#N/A</v>
      </c>
      <c r="AA24" s="114" t="e">
        <f>(VLOOKUP(C24,Tableau110[[Licence]:[Points]],16,FALSE))</f>
        <v>#N/A</v>
      </c>
    </row>
    <row r="25" spans="1:27" ht="15">
      <c r="A25" s="60"/>
      <c r="B25" s="46"/>
      <c r="C25" s="70"/>
      <c r="D25" s="67" t="s">
        <v>52</v>
      </c>
      <c r="E25" s="117" t="e">
        <f t="shared" si="0"/>
        <v>#N/A</v>
      </c>
      <c r="F25" s="117" t="e">
        <f>VLOOKUP(C25,Tableau16[[Licence]:[Points]],9,FALSE)</f>
        <v>#N/A</v>
      </c>
      <c r="G25" s="117" t="e">
        <f>VLOOKUP(C25,Tableau18[[Licence]:[Points]],9,FALSE)</f>
        <v>#N/A</v>
      </c>
      <c r="H25" s="117" t="e">
        <f t="shared" si="1"/>
        <v>#N/A</v>
      </c>
      <c r="I25" s="49"/>
      <c r="K25" s="13"/>
      <c r="L25" s="14"/>
      <c r="M25" s="14"/>
      <c r="N25" s="36" t="s">
        <v>54</v>
      </c>
      <c r="O25" s="37" t="s">
        <v>91</v>
      </c>
      <c r="P25" s="40" t="str">
        <f t="shared" si="2"/>
        <v>1 Saut + 1 Lancer + 1 Course</v>
      </c>
      <c r="Q25" s="14"/>
      <c r="R25" s="14"/>
      <c r="S25" s="14"/>
      <c r="T25" s="14"/>
      <c r="U25" s="14"/>
      <c r="V25" s="14"/>
      <c r="W25" s="14"/>
      <c r="X25" s="14"/>
      <c r="Y25" s="26"/>
      <c r="Z25" s="114" t="e">
        <f>(VLOOKUP(C25,Tableau17[[Licence]:[Points]],9,FALSE))</f>
        <v>#N/A</v>
      </c>
      <c r="AA25" s="114" t="e">
        <f>(VLOOKUP(C25,Tableau110[[Licence]:[Points]],16,FALSE))</f>
        <v>#N/A</v>
      </c>
    </row>
    <row r="26" spans="1:27" ht="15">
      <c r="A26" s="60"/>
      <c r="B26" s="46"/>
      <c r="C26" s="70"/>
      <c r="D26" s="67" t="s">
        <v>52</v>
      </c>
      <c r="E26" s="117" t="e">
        <f t="shared" si="0"/>
        <v>#N/A</v>
      </c>
      <c r="F26" s="117" t="e">
        <f>VLOOKUP(C26,Tableau16[[Licence]:[Points]],9,FALSE)</f>
        <v>#N/A</v>
      </c>
      <c r="G26" s="117" t="e">
        <f>VLOOKUP(C26,Tableau18[[Licence]:[Points]],9,FALSE)</f>
        <v>#N/A</v>
      </c>
      <c r="H26" s="117" t="e">
        <f t="shared" si="1"/>
        <v>#N/A</v>
      </c>
      <c r="I26" s="49"/>
      <c r="K26" s="13"/>
      <c r="L26" s="14"/>
      <c r="M26" s="14"/>
      <c r="N26" s="36" t="s">
        <v>54</v>
      </c>
      <c r="O26" s="37" t="s">
        <v>91</v>
      </c>
      <c r="P26" s="40" t="str">
        <f t="shared" si="2"/>
        <v>1 Saut + 1 Lancer + 1 Course</v>
      </c>
      <c r="Q26" s="14"/>
      <c r="R26" s="14"/>
      <c r="S26" s="14"/>
      <c r="T26" s="14"/>
      <c r="U26" s="14"/>
      <c r="V26" s="14"/>
      <c r="W26" s="14"/>
      <c r="X26" s="14"/>
      <c r="Y26" s="26"/>
      <c r="Z26" s="114" t="e">
        <f>(VLOOKUP(C26,Tableau17[[Licence]:[Points]],9,FALSE))</f>
        <v>#N/A</v>
      </c>
      <c r="AA26" s="114" t="e">
        <f>(VLOOKUP(C26,Tableau110[[Licence]:[Points]],16,FALSE))</f>
        <v>#N/A</v>
      </c>
    </row>
    <row r="27" spans="1:27" ht="15">
      <c r="A27" s="60"/>
      <c r="B27" s="46"/>
      <c r="C27" s="70"/>
      <c r="D27" s="67" t="s">
        <v>52</v>
      </c>
      <c r="E27" s="117" t="e">
        <f t="shared" si="0"/>
        <v>#N/A</v>
      </c>
      <c r="F27" s="117" t="e">
        <f>VLOOKUP(C27,Tableau16[[Licence]:[Points]],9,FALSE)</f>
        <v>#N/A</v>
      </c>
      <c r="G27" s="117" t="e">
        <f>VLOOKUP(C27,Tableau18[[Licence]:[Points]],9,FALSE)</f>
        <v>#N/A</v>
      </c>
      <c r="H27" s="117" t="e">
        <f t="shared" si="1"/>
        <v>#N/A</v>
      </c>
      <c r="I27" s="49"/>
      <c r="K27" s="13"/>
      <c r="L27" s="14"/>
      <c r="M27" s="14"/>
      <c r="N27" s="36" t="s">
        <v>54</v>
      </c>
      <c r="O27" s="37" t="s">
        <v>91</v>
      </c>
      <c r="P27" s="40" t="str">
        <f t="shared" si="2"/>
        <v>1 Saut + 1 Lancer + 1 Course</v>
      </c>
      <c r="Q27" s="14"/>
      <c r="R27" s="14"/>
      <c r="S27" s="14"/>
      <c r="T27" s="14"/>
      <c r="U27" s="14"/>
      <c r="V27" s="14"/>
      <c r="W27" s="14"/>
      <c r="X27" s="14"/>
      <c r="Y27" s="26"/>
      <c r="Z27" s="114" t="e">
        <f>(VLOOKUP(C27,Tableau17[[Licence]:[Points]],9,FALSE))</f>
        <v>#N/A</v>
      </c>
      <c r="AA27" s="114" t="e">
        <f>(VLOOKUP(C27,Tableau110[[Licence]:[Points]],16,FALSE))</f>
        <v>#N/A</v>
      </c>
    </row>
    <row r="28" spans="1:27" ht="15">
      <c r="A28" s="60"/>
      <c r="B28" s="46"/>
      <c r="C28" s="70"/>
      <c r="D28" s="67" t="s">
        <v>52</v>
      </c>
      <c r="E28" s="117" t="e">
        <f t="shared" si="0"/>
        <v>#N/A</v>
      </c>
      <c r="F28" s="117" t="e">
        <f>VLOOKUP(C28,Tableau16[[Licence]:[Points]],9,FALSE)</f>
        <v>#N/A</v>
      </c>
      <c r="G28" s="117" t="e">
        <f>VLOOKUP(C28,Tableau18[[Licence]:[Points]],9,FALSE)</f>
        <v>#N/A</v>
      </c>
      <c r="H28" s="117" t="e">
        <f t="shared" si="1"/>
        <v>#N/A</v>
      </c>
      <c r="I28" s="49"/>
      <c r="K28" s="13"/>
      <c r="L28" s="14"/>
      <c r="M28" s="14"/>
      <c r="N28" s="36" t="s">
        <v>54</v>
      </c>
      <c r="O28" s="37" t="s">
        <v>91</v>
      </c>
      <c r="P28" s="40" t="str">
        <f t="shared" si="2"/>
        <v>1 Saut + 1 Lancer + 1 Course</v>
      </c>
      <c r="Q28" s="14"/>
      <c r="R28" s="14"/>
      <c r="S28" s="14"/>
      <c r="T28" s="14"/>
      <c r="U28" s="14"/>
      <c r="V28" s="14"/>
      <c r="W28" s="14"/>
      <c r="X28" s="14"/>
      <c r="Y28" s="26"/>
      <c r="Z28" s="114" t="e">
        <f>(VLOOKUP(C28,Tableau17[[Licence]:[Points]],9,FALSE))</f>
        <v>#N/A</v>
      </c>
      <c r="AA28" s="114" t="e">
        <f>(VLOOKUP(C28,Tableau110[[Licence]:[Points]],16,FALSE))</f>
        <v>#N/A</v>
      </c>
    </row>
    <row r="29" spans="1:27" ht="15">
      <c r="A29" s="60"/>
      <c r="B29" s="46"/>
      <c r="C29" s="70"/>
      <c r="D29" s="67" t="s">
        <v>52</v>
      </c>
      <c r="E29" s="117" t="e">
        <f t="shared" si="0"/>
        <v>#N/A</v>
      </c>
      <c r="F29" s="117" t="e">
        <f>VLOOKUP(C29,Tableau16[[Licence]:[Points]],9,FALSE)</f>
        <v>#N/A</v>
      </c>
      <c r="G29" s="117" t="e">
        <f>VLOOKUP(C29,Tableau18[[Licence]:[Points]],9,FALSE)</f>
        <v>#N/A</v>
      </c>
      <c r="H29" s="117" t="e">
        <f t="shared" si="1"/>
        <v>#N/A</v>
      </c>
      <c r="I29" s="49"/>
      <c r="K29" s="13"/>
      <c r="L29" s="14"/>
      <c r="M29" s="14"/>
      <c r="N29" s="36" t="s">
        <v>54</v>
      </c>
      <c r="O29" s="37" t="s">
        <v>91</v>
      </c>
      <c r="P29" s="40" t="str">
        <f t="shared" si="2"/>
        <v>1 Saut + 1 Lancer + 1 Course</v>
      </c>
      <c r="Q29" s="14"/>
      <c r="R29" s="14"/>
      <c r="S29" s="14"/>
      <c r="T29" s="14"/>
      <c r="U29" s="14"/>
      <c r="V29" s="14"/>
      <c r="W29" s="14"/>
      <c r="X29" s="14"/>
      <c r="Y29" s="26"/>
      <c r="Z29" s="114" t="e">
        <f>(VLOOKUP(C29,Tableau17[[Licence]:[Points]],9,FALSE))</f>
        <v>#N/A</v>
      </c>
      <c r="AA29" s="114" t="e">
        <f>(VLOOKUP(C29,Tableau110[[Licence]:[Points]],16,FALSE))</f>
        <v>#N/A</v>
      </c>
    </row>
    <row r="30" spans="1:27" ht="15">
      <c r="A30" s="60"/>
      <c r="B30" s="46"/>
      <c r="C30" s="70"/>
      <c r="D30" s="67" t="s">
        <v>52</v>
      </c>
      <c r="E30" s="117" t="e">
        <f t="shared" si="0"/>
        <v>#N/A</v>
      </c>
      <c r="F30" s="117" t="e">
        <f>VLOOKUP(C30,Tableau16[[Licence]:[Points]],9,FALSE)</f>
        <v>#N/A</v>
      </c>
      <c r="G30" s="117" t="e">
        <f>VLOOKUP(C30,Tableau18[[Licence]:[Points]],9,FALSE)</f>
        <v>#N/A</v>
      </c>
      <c r="H30" s="117" t="e">
        <f t="shared" si="1"/>
        <v>#N/A</v>
      </c>
      <c r="I30" s="49"/>
      <c r="K30" s="13"/>
      <c r="L30" s="14"/>
      <c r="M30" s="14"/>
      <c r="N30" s="36" t="s">
        <v>54</v>
      </c>
      <c r="O30" s="37" t="s">
        <v>91</v>
      </c>
      <c r="P30" s="40" t="str">
        <f t="shared" si="2"/>
        <v>1 Saut + 1 Lancer + 1 Course</v>
      </c>
      <c r="Q30" s="14"/>
      <c r="R30" s="14"/>
      <c r="S30" s="14"/>
      <c r="T30" s="14"/>
      <c r="U30" s="14"/>
      <c r="V30" s="14"/>
      <c r="W30" s="14"/>
      <c r="X30" s="14"/>
      <c r="Y30" s="26"/>
      <c r="Z30" s="114" t="e">
        <f>(VLOOKUP(C30,Tableau17[[Licence]:[Points]],9,FALSE))</f>
        <v>#N/A</v>
      </c>
      <c r="AA30" s="114" t="e">
        <f>(VLOOKUP(C30,Tableau110[[Licence]:[Points]],16,FALSE))</f>
        <v>#N/A</v>
      </c>
    </row>
    <row r="31" spans="1:27" ht="15">
      <c r="A31" s="60"/>
      <c r="B31" s="46"/>
      <c r="C31" s="70"/>
      <c r="D31" s="67" t="s">
        <v>52</v>
      </c>
      <c r="E31" s="117" t="e">
        <f t="shared" si="0"/>
        <v>#N/A</v>
      </c>
      <c r="F31" s="117" t="e">
        <f>VLOOKUP(C31,Tableau16[[Licence]:[Points]],9,FALSE)</f>
        <v>#N/A</v>
      </c>
      <c r="G31" s="117" t="e">
        <f>VLOOKUP(C31,Tableau18[[Licence]:[Points]],9,FALSE)</f>
        <v>#N/A</v>
      </c>
      <c r="H31" s="117" t="e">
        <f t="shared" si="1"/>
        <v>#N/A</v>
      </c>
      <c r="I31" s="49"/>
      <c r="K31" s="13"/>
      <c r="L31" s="14"/>
      <c r="M31" s="14"/>
      <c r="N31" s="36" t="s">
        <v>54</v>
      </c>
      <c r="O31" s="37" t="s">
        <v>91</v>
      </c>
      <c r="P31" s="40" t="str">
        <f t="shared" si="2"/>
        <v>1 Saut + 1 Lancer + 1 Course</v>
      </c>
      <c r="Q31" s="14"/>
      <c r="R31" s="14"/>
      <c r="S31" s="14"/>
      <c r="T31" s="14"/>
      <c r="U31" s="14"/>
      <c r="V31" s="14"/>
      <c r="W31" s="14"/>
      <c r="X31" s="14"/>
      <c r="Y31" s="26"/>
      <c r="Z31" s="114" t="e">
        <f>(VLOOKUP(C31,Tableau17[[Licence]:[Points]],9,FALSE))</f>
        <v>#N/A</v>
      </c>
      <c r="AA31" s="114" t="e">
        <f>(VLOOKUP(C31,Tableau110[[Licence]:[Points]],16,FALSE))</f>
        <v>#N/A</v>
      </c>
    </row>
    <row r="32" spans="1:27" ht="15">
      <c r="A32" s="60"/>
      <c r="B32" s="46"/>
      <c r="C32" s="70"/>
      <c r="D32" s="67" t="s">
        <v>52</v>
      </c>
      <c r="E32" s="117" t="e">
        <f t="shared" si="0"/>
        <v>#N/A</v>
      </c>
      <c r="F32" s="117" t="e">
        <f>VLOOKUP(C32,Tableau16[[Licence]:[Points]],9,FALSE)</f>
        <v>#N/A</v>
      </c>
      <c r="G32" s="117" t="e">
        <f>VLOOKUP(C32,Tableau18[[Licence]:[Points]],9,FALSE)</f>
        <v>#N/A</v>
      </c>
      <c r="H32" s="117" t="e">
        <f t="shared" si="1"/>
        <v>#N/A</v>
      </c>
      <c r="I32" s="49"/>
      <c r="K32" s="13"/>
      <c r="L32" s="14"/>
      <c r="M32" s="14"/>
      <c r="N32" s="36" t="s">
        <v>54</v>
      </c>
      <c r="O32" s="37" t="s">
        <v>91</v>
      </c>
      <c r="P32" s="40" t="str">
        <f t="shared" si="2"/>
        <v>1 Saut + 1 Lancer + 1 Course</v>
      </c>
      <c r="Q32" s="14"/>
      <c r="R32" s="14"/>
      <c r="S32" s="14"/>
      <c r="T32" s="14"/>
      <c r="U32" s="14"/>
      <c r="V32" s="14"/>
      <c r="W32" s="14"/>
      <c r="X32" s="14"/>
      <c r="Y32" s="26"/>
      <c r="Z32" s="114" t="e">
        <f>(VLOOKUP(C32,Tableau17[[Licence]:[Points]],9,FALSE))</f>
        <v>#N/A</v>
      </c>
      <c r="AA32" s="114" t="e">
        <f>(VLOOKUP(C32,Tableau110[[Licence]:[Points]],16,FALSE))</f>
        <v>#N/A</v>
      </c>
    </row>
    <row r="33" spans="1:27" ht="15">
      <c r="A33" s="60"/>
      <c r="B33" s="46"/>
      <c r="C33" s="70"/>
      <c r="D33" s="67" t="s">
        <v>52</v>
      </c>
      <c r="E33" s="117" t="e">
        <f t="shared" si="0"/>
        <v>#N/A</v>
      </c>
      <c r="F33" s="117" t="e">
        <f>VLOOKUP(C33,Tableau16[[Licence]:[Points]],9,FALSE)</f>
        <v>#N/A</v>
      </c>
      <c r="G33" s="117" t="e">
        <f>VLOOKUP(C33,Tableau18[[Licence]:[Points]],9,FALSE)</f>
        <v>#N/A</v>
      </c>
      <c r="H33" s="117" t="e">
        <f t="shared" si="1"/>
        <v>#N/A</v>
      </c>
      <c r="I33" s="49"/>
      <c r="K33" s="13"/>
      <c r="L33" s="14"/>
      <c r="M33" s="14"/>
      <c r="N33" s="36" t="s">
        <v>54</v>
      </c>
      <c r="O33" s="37" t="s">
        <v>91</v>
      </c>
      <c r="P33" s="40" t="str">
        <f t="shared" si="2"/>
        <v>1 Saut + 1 Lancer + 1 Course</v>
      </c>
      <c r="Q33" s="14"/>
      <c r="R33" s="14"/>
      <c r="S33" s="14"/>
      <c r="T33" s="14"/>
      <c r="U33" s="14"/>
      <c r="V33" s="14"/>
      <c r="W33" s="14"/>
      <c r="X33" s="14"/>
      <c r="Y33" s="26"/>
      <c r="Z33" s="114" t="e">
        <f>(VLOOKUP(C33,Tableau17[[Licence]:[Points]],9,FALSE))</f>
        <v>#N/A</v>
      </c>
      <c r="AA33" s="114" t="e">
        <f>(VLOOKUP(C33,Tableau110[[Licence]:[Points]],16,FALSE))</f>
        <v>#N/A</v>
      </c>
    </row>
    <row r="34" spans="1:27" ht="15">
      <c r="A34" s="60"/>
      <c r="B34" s="46"/>
      <c r="C34" s="70"/>
      <c r="D34" s="67" t="s">
        <v>52</v>
      </c>
      <c r="E34" s="117" t="e">
        <f t="shared" si="0"/>
        <v>#N/A</v>
      </c>
      <c r="F34" s="117" t="e">
        <f>VLOOKUP(C34,Tableau16[[Licence]:[Points]],9,FALSE)</f>
        <v>#N/A</v>
      </c>
      <c r="G34" s="117" t="e">
        <f>VLOOKUP(C34,Tableau18[[Licence]:[Points]],9,FALSE)</f>
        <v>#N/A</v>
      </c>
      <c r="H34" s="117" t="e">
        <f t="shared" si="1"/>
        <v>#N/A</v>
      </c>
      <c r="I34" s="49"/>
      <c r="K34" s="13"/>
      <c r="L34" s="14"/>
      <c r="M34" s="14"/>
      <c r="N34" s="36" t="s">
        <v>54</v>
      </c>
      <c r="O34" s="37" t="s">
        <v>91</v>
      </c>
      <c r="P34" s="40" t="str">
        <f t="shared" si="2"/>
        <v>1 Saut + 1 Lancer + 1 Course</v>
      </c>
      <c r="Q34" s="14"/>
      <c r="R34" s="14"/>
      <c r="S34" s="14"/>
      <c r="T34" s="14"/>
      <c r="U34" s="14"/>
      <c r="V34" s="14"/>
      <c r="W34" s="14"/>
      <c r="X34" s="14"/>
      <c r="Y34" s="26"/>
      <c r="Z34" s="114" t="e">
        <f>(VLOOKUP(C34,Tableau17[[Licence]:[Points]],9,FALSE))</f>
        <v>#N/A</v>
      </c>
      <c r="AA34" s="114" t="e">
        <f>(VLOOKUP(C34,Tableau110[[Licence]:[Points]],16,FALSE))</f>
        <v>#N/A</v>
      </c>
    </row>
    <row r="35" spans="1:27" ht="15">
      <c r="A35" s="60"/>
      <c r="B35" s="46"/>
      <c r="C35" s="70"/>
      <c r="D35" s="67" t="s">
        <v>52</v>
      </c>
      <c r="E35" s="117" t="e">
        <f t="shared" si="0"/>
        <v>#N/A</v>
      </c>
      <c r="F35" s="117" t="e">
        <f>VLOOKUP(C35,Tableau16[[Licence]:[Points]],9,FALSE)</f>
        <v>#N/A</v>
      </c>
      <c r="G35" s="117" t="e">
        <f>VLOOKUP(C35,Tableau18[[Licence]:[Points]],9,FALSE)</f>
        <v>#N/A</v>
      </c>
      <c r="H35" s="117" t="e">
        <f t="shared" si="1"/>
        <v>#N/A</v>
      </c>
      <c r="I35" s="49"/>
      <c r="K35" s="13"/>
      <c r="L35" s="14"/>
      <c r="M35" s="14"/>
      <c r="N35" s="36" t="s">
        <v>54</v>
      </c>
      <c r="O35" s="37" t="s">
        <v>91</v>
      </c>
      <c r="P35" s="40" t="str">
        <f t="shared" si="2"/>
        <v>1 Saut + 1 Lancer + 1 Course</v>
      </c>
      <c r="Q35" s="14"/>
      <c r="R35" s="14"/>
      <c r="S35" s="14"/>
      <c r="T35" s="14"/>
      <c r="U35" s="14"/>
      <c r="V35" s="14"/>
      <c r="W35" s="14"/>
      <c r="X35" s="14"/>
      <c r="Y35" s="26"/>
      <c r="Z35" s="114" t="e">
        <f>(VLOOKUP(C35,Tableau17[[Licence]:[Points]],9,FALSE))</f>
        <v>#N/A</v>
      </c>
      <c r="AA35" s="114" t="e">
        <f>(VLOOKUP(C35,Tableau110[[Licence]:[Points]],16,FALSE))</f>
        <v>#N/A</v>
      </c>
    </row>
    <row r="36" spans="1:27" ht="15">
      <c r="A36" s="60"/>
      <c r="B36" s="46"/>
      <c r="C36" s="70"/>
      <c r="D36" s="67" t="s">
        <v>52</v>
      </c>
      <c r="E36" s="117" t="e">
        <f t="shared" si="0"/>
        <v>#N/A</v>
      </c>
      <c r="F36" s="117" t="e">
        <f>VLOOKUP(C36,Tableau16[[Licence]:[Points]],9,FALSE)</f>
        <v>#N/A</v>
      </c>
      <c r="G36" s="117" t="e">
        <f>VLOOKUP(C36,Tableau18[[Licence]:[Points]],9,FALSE)</f>
        <v>#N/A</v>
      </c>
      <c r="H36" s="117" t="e">
        <f t="shared" si="1"/>
        <v>#N/A</v>
      </c>
      <c r="I36" s="49"/>
      <c r="K36" s="13"/>
      <c r="L36" s="14"/>
      <c r="M36" s="14"/>
      <c r="N36" s="36" t="s">
        <v>54</v>
      </c>
      <c r="O36" s="37" t="s">
        <v>91</v>
      </c>
      <c r="P36" s="40" t="str">
        <f t="shared" si="2"/>
        <v>1 Saut + 1 Lancer + 1 Course</v>
      </c>
      <c r="Q36" s="14"/>
      <c r="R36" s="14"/>
      <c r="S36" s="14"/>
      <c r="T36" s="14"/>
      <c r="U36" s="14"/>
      <c r="V36" s="14"/>
      <c r="W36" s="14"/>
      <c r="X36" s="14"/>
      <c r="Y36" s="26"/>
      <c r="Z36" s="114" t="e">
        <f>(VLOOKUP(C36,Tableau17[[Licence]:[Points]],9,FALSE))</f>
        <v>#N/A</v>
      </c>
      <c r="AA36" s="114" t="e">
        <f>(VLOOKUP(C36,Tableau110[[Licence]:[Points]],16,FALSE))</f>
        <v>#N/A</v>
      </c>
    </row>
    <row r="37" spans="1:27" ht="15">
      <c r="A37" s="60"/>
      <c r="B37" s="46"/>
      <c r="C37" s="70"/>
      <c r="D37" s="67" t="s">
        <v>52</v>
      </c>
      <c r="E37" s="117" t="e">
        <f t="shared" si="0"/>
        <v>#N/A</v>
      </c>
      <c r="F37" s="117" t="e">
        <f>VLOOKUP(C37,Tableau16[[Licence]:[Points]],9,FALSE)</f>
        <v>#N/A</v>
      </c>
      <c r="G37" s="117" t="e">
        <f>VLOOKUP(C37,Tableau18[[Licence]:[Points]],9,FALSE)</f>
        <v>#N/A</v>
      </c>
      <c r="H37" s="117" t="e">
        <f t="shared" si="1"/>
        <v>#N/A</v>
      </c>
      <c r="I37" s="49"/>
      <c r="K37" s="13"/>
      <c r="L37" s="14"/>
      <c r="M37" s="14"/>
      <c r="N37" s="36" t="s">
        <v>54</v>
      </c>
      <c r="O37" s="37" t="s">
        <v>91</v>
      </c>
      <c r="P37" s="40" t="str">
        <f t="shared" si="2"/>
        <v>1 Saut + 1 Lancer + 1 Course</v>
      </c>
      <c r="Q37" s="14"/>
      <c r="R37" s="14"/>
      <c r="S37" s="14"/>
      <c r="T37" s="14"/>
      <c r="U37" s="14"/>
      <c r="V37" s="14"/>
      <c r="W37" s="14"/>
      <c r="X37" s="14"/>
      <c r="Y37" s="26"/>
      <c r="Z37" s="114" t="e">
        <f>(VLOOKUP(C37,Tableau17[[Licence]:[Points]],9,FALSE))</f>
        <v>#N/A</v>
      </c>
      <c r="AA37" s="114" t="e">
        <f>(VLOOKUP(C37,Tableau110[[Licence]:[Points]],16,FALSE))</f>
        <v>#N/A</v>
      </c>
    </row>
    <row r="38" spans="1:27" ht="15.75" thickBot="1">
      <c r="A38" s="62"/>
      <c r="B38" s="63"/>
      <c r="C38" s="71"/>
      <c r="D38" s="280" t="s">
        <v>52</v>
      </c>
      <c r="E38" s="118" t="e">
        <f t="shared" si="0"/>
        <v>#N/A</v>
      </c>
      <c r="F38" s="118" t="e">
        <f>VLOOKUP(C38,Tableau16[[Licence]:[Points]],9,FALSE)</f>
        <v>#N/A</v>
      </c>
      <c r="G38" s="118" t="e">
        <f>VLOOKUP(C38,Tableau18[[Licence]:[Points]],9,FALSE)</f>
        <v>#N/A</v>
      </c>
      <c r="H38" s="118" t="e">
        <f t="shared" si="1"/>
        <v>#N/A</v>
      </c>
      <c r="I38" s="50"/>
      <c r="K38" s="16"/>
      <c r="L38" s="17"/>
      <c r="M38" s="17"/>
      <c r="N38" s="38" t="s">
        <v>54</v>
      </c>
      <c r="O38" s="39" t="s">
        <v>91</v>
      </c>
      <c r="P38" s="41" t="str">
        <f t="shared" si="2"/>
        <v>1 Saut + 1 Lancer + 1 Course</v>
      </c>
      <c r="Q38" s="17"/>
      <c r="R38" s="17"/>
      <c r="S38" s="17"/>
      <c r="T38" s="17"/>
      <c r="U38" s="17"/>
      <c r="V38" s="17"/>
      <c r="W38" s="17"/>
      <c r="X38" s="17"/>
      <c r="Y38" s="26"/>
      <c r="Z38" s="114" t="e">
        <f>(VLOOKUP(C38,Tableau17[[Licence]:[Points]],9,FALSE))</f>
        <v>#N/A</v>
      </c>
      <c r="AA38" s="114" t="e">
        <f>(VLOOKUP(C38,Tableau110[[Licence]:[Points]],16,FALSE))</f>
        <v>#N/A</v>
      </c>
    </row>
    <row r="39" spans="1:10" ht="15.75" customHeight="1">
      <c r="A39" s="30"/>
      <c r="B39" s="30"/>
      <c r="C39" s="30"/>
      <c r="D39" s="10"/>
      <c r="E39" s="96"/>
      <c r="F39" s="30"/>
      <c r="G39" s="30"/>
      <c r="H39" s="10"/>
      <c r="I39" s="30"/>
      <c r="J39" s="30"/>
    </row>
    <row r="40" spans="1:30" ht="15.75" customHeight="1">
      <c r="A40" s="30"/>
      <c r="B40" s="30"/>
      <c r="C40" s="30"/>
      <c r="D40" s="10"/>
      <c r="E40" s="96"/>
      <c r="F40" s="30"/>
      <c r="G40" s="30"/>
      <c r="H40" s="10"/>
      <c r="I40" s="30"/>
      <c r="J40" s="30"/>
      <c r="AD40" s="11"/>
    </row>
    <row r="41" spans="1:30" ht="15">
      <c r="A41" s="30"/>
      <c r="B41" s="30"/>
      <c r="C41" s="30"/>
      <c r="D41" s="10"/>
      <c r="E41" s="96"/>
      <c r="F41" s="30"/>
      <c r="G41" s="30"/>
      <c r="H41" s="10"/>
      <c r="I41" s="30"/>
      <c r="J41" s="30"/>
      <c r="AD41" s="11"/>
    </row>
    <row r="42" ht="15">
      <c r="AD42" s="11"/>
    </row>
    <row r="43" ht="15">
      <c r="AD43" s="11"/>
    </row>
    <row r="44" ht="15">
      <c r="AD44" s="11"/>
    </row>
    <row r="45" ht="15">
      <c r="AD45" s="11"/>
    </row>
  </sheetData>
  <sheetProtection password="D2F3" sheet="1" objects="1" scenarios="1"/>
  <mergeCells count="16">
    <mergeCell ref="L5:L6"/>
    <mergeCell ref="M5:O6"/>
    <mergeCell ref="P5:Q5"/>
    <mergeCell ref="R5:S5"/>
    <mergeCell ref="P6:Q6"/>
    <mergeCell ref="R6:S6"/>
    <mergeCell ref="K2:U3"/>
    <mergeCell ref="M4:O4"/>
    <mergeCell ref="Q4:T4"/>
    <mergeCell ref="C4:D4"/>
    <mergeCell ref="E4:H4"/>
    <mergeCell ref="H5:I5"/>
    <mergeCell ref="H6:I6"/>
    <mergeCell ref="C5:G6"/>
    <mergeCell ref="B5:B6"/>
    <mergeCell ref="A2:I3"/>
  </mergeCells>
  <dataValidations count="4">
    <dataValidation type="list" allowBlank="1" showInputMessage="1" showErrorMessage="1" sqref="N8:N38 P9:P38">
      <formula1>$AJ$5:$AJ$6</formula1>
    </dataValidation>
    <dataValidation type="list" allowBlank="1" showInputMessage="1" showErrorMessage="1" sqref="O8:O38">
      <formula1>$AD$7:$AD$11</formula1>
    </dataValidation>
    <dataValidation type="list" allowBlank="1" showInputMessage="1" showErrorMessage="1" sqref="D8:D38">
      <formula1>$AJ$3:$AJ$4</formula1>
    </dataValidation>
    <dataValidation type="list" allowBlank="1" showInputMessage="1" showErrorMessage="1" sqref="B4">
      <formula1>$AD$2</formula1>
    </dataValidation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70" r:id="rId4"/>
  <drawing r:id="rId3"/>
  <tableParts>
    <tablePart r:id="rId1"/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K19">
      <selection activeCell="A19" sqref="A1:J1048576"/>
    </sheetView>
  </sheetViews>
  <sheetFormatPr defaultColWidth="11.421875" defaultRowHeight="15"/>
  <cols>
    <col min="1" max="10" width="11.421875" style="0" hidden="1" customWidth="1"/>
  </cols>
  <sheetData>
    <row r="1" spans="1:10" ht="15">
      <c r="A1" t="s">
        <v>44</v>
      </c>
      <c r="J1" t="s">
        <v>9</v>
      </c>
    </row>
    <row r="2" spans="1:11" ht="30">
      <c r="A2" s="1" t="s">
        <v>11</v>
      </c>
      <c r="B2" s="1" t="s">
        <v>15</v>
      </c>
      <c r="C2" s="1" t="s">
        <v>16</v>
      </c>
      <c r="D2" s="1" t="s">
        <v>17</v>
      </c>
      <c r="E2" s="1" t="s">
        <v>40</v>
      </c>
      <c r="F2" s="1" t="s">
        <v>48</v>
      </c>
      <c r="G2" s="1" t="s">
        <v>49</v>
      </c>
      <c r="H2" s="1" t="s">
        <v>50</v>
      </c>
      <c r="I2" s="1" t="s">
        <v>51</v>
      </c>
      <c r="J2" s="1" t="s">
        <v>11</v>
      </c>
      <c r="K2" s="1"/>
    </row>
    <row r="3" spans="1:10" ht="15">
      <c r="A3">
        <v>1</v>
      </c>
      <c r="B3">
        <v>1.02</v>
      </c>
      <c r="C3">
        <v>1.6</v>
      </c>
      <c r="D3">
        <v>2.44</v>
      </c>
      <c r="E3">
        <v>6.7</v>
      </c>
      <c r="F3">
        <v>4</v>
      </c>
      <c r="G3">
        <v>8.8</v>
      </c>
      <c r="H3">
        <v>7</v>
      </c>
      <c r="I3">
        <v>7.6</v>
      </c>
      <c r="J3">
        <v>1</v>
      </c>
    </row>
    <row r="4" spans="1:11" s="1" customFormat="1" ht="15">
      <c r="A4">
        <v>2</v>
      </c>
      <c r="B4">
        <v>1.04</v>
      </c>
      <c r="C4">
        <v>1.63</v>
      </c>
      <c r="D4">
        <v>2.54</v>
      </c>
      <c r="E4">
        <v>6.87</v>
      </c>
      <c r="F4">
        <v>4.22</v>
      </c>
      <c r="G4">
        <v>9.38</v>
      </c>
      <c r="H4">
        <v>7.78</v>
      </c>
      <c r="I4">
        <v>8.42</v>
      </c>
      <c r="J4">
        <v>2</v>
      </c>
      <c r="K4"/>
    </row>
    <row r="5" spans="1:10" ht="15">
      <c r="A5">
        <v>3</v>
      </c>
      <c r="B5">
        <v>1.06</v>
      </c>
      <c r="C5">
        <v>1.66</v>
      </c>
      <c r="D5">
        <v>2.65</v>
      </c>
      <c r="E5">
        <v>7.05</v>
      </c>
      <c r="F5">
        <v>4.43</v>
      </c>
      <c r="G5">
        <v>9.96</v>
      </c>
      <c r="H5">
        <v>8.57</v>
      </c>
      <c r="I5">
        <v>9.24</v>
      </c>
      <c r="J5">
        <v>3</v>
      </c>
    </row>
    <row r="6" spans="1:10" ht="15">
      <c r="A6">
        <v>4</v>
      </c>
      <c r="B6">
        <v>1.08</v>
      </c>
      <c r="C6">
        <v>1.69</v>
      </c>
      <c r="D6">
        <v>2.75</v>
      </c>
      <c r="E6">
        <v>7.22</v>
      </c>
      <c r="F6">
        <v>4.65</v>
      </c>
      <c r="G6">
        <v>10.54</v>
      </c>
      <c r="H6">
        <v>9.35</v>
      </c>
      <c r="I6">
        <v>10.06</v>
      </c>
      <c r="J6">
        <v>4</v>
      </c>
    </row>
    <row r="7" spans="1:10" ht="15">
      <c r="A7">
        <v>5</v>
      </c>
      <c r="B7">
        <v>1.1</v>
      </c>
      <c r="C7">
        <v>1.73</v>
      </c>
      <c r="D7">
        <v>2.85</v>
      </c>
      <c r="E7">
        <v>7.4</v>
      </c>
      <c r="F7">
        <v>4.86</v>
      </c>
      <c r="G7">
        <v>11.12</v>
      </c>
      <c r="H7">
        <v>10.14</v>
      </c>
      <c r="I7">
        <v>10.88</v>
      </c>
      <c r="J7">
        <v>5</v>
      </c>
    </row>
    <row r="8" spans="1:10" ht="15">
      <c r="A8">
        <v>6</v>
      </c>
      <c r="B8">
        <v>1.12</v>
      </c>
      <c r="C8">
        <v>1.76</v>
      </c>
      <c r="D8">
        <v>2.96</v>
      </c>
      <c r="E8">
        <v>7.57</v>
      </c>
      <c r="F8">
        <v>5.08</v>
      </c>
      <c r="G8">
        <v>11.69</v>
      </c>
      <c r="H8">
        <v>10.92</v>
      </c>
      <c r="I8">
        <v>11.71</v>
      </c>
      <c r="J8">
        <v>6</v>
      </c>
    </row>
    <row r="9" spans="1:10" ht="15">
      <c r="A9">
        <v>7</v>
      </c>
      <c r="B9">
        <v>1.14</v>
      </c>
      <c r="C9">
        <v>1.79</v>
      </c>
      <c r="D9">
        <v>3.06</v>
      </c>
      <c r="E9">
        <v>7.75</v>
      </c>
      <c r="F9">
        <v>5.29</v>
      </c>
      <c r="G9">
        <v>12.27</v>
      </c>
      <c r="H9">
        <v>11.71</v>
      </c>
      <c r="I9">
        <v>12.53</v>
      </c>
      <c r="J9">
        <v>7</v>
      </c>
    </row>
    <row r="10" spans="1:10" ht="15">
      <c r="A10">
        <v>8</v>
      </c>
      <c r="B10">
        <v>1.16</v>
      </c>
      <c r="C10">
        <v>1.82</v>
      </c>
      <c r="D10">
        <v>3.17</v>
      </c>
      <c r="E10">
        <v>7.92</v>
      </c>
      <c r="F10">
        <v>5.51</v>
      </c>
      <c r="G10">
        <v>12.85</v>
      </c>
      <c r="H10">
        <v>12.49</v>
      </c>
      <c r="I10">
        <v>13.35</v>
      </c>
      <c r="J10">
        <v>8</v>
      </c>
    </row>
    <row r="11" spans="1:10" ht="15">
      <c r="A11">
        <v>9</v>
      </c>
      <c r="B11">
        <v>1.18</v>
      </c>
      <c r="C11">
        <v>1.85</v>
      </c>
      <c r="D11">
        <v>3.27</v>
      </c>
      <c r="E11">
        <v>8.1</v>
      </c>
      <c r="F11">
        <v>5.73</v>
      </c>
      <c r="G11">
        <v>13.43</v>
      </c>
      <c r="H11">
        <v>13.27</v>
      </c>
      <c r="I11">
        <v>14.17</v>
      </c>
      <c r="J11">
        <v>9</v>
      </c>
    </row>
    <row r="12" spans="1:10" ht="15">
      <c r="A12">
        <v>10</v>
      </c>
      <c r="B12">
        <v>1.2</v>
      </c>
      <c r="C12">
        <v>1.88</v>
      </c>
      <c r="D12">
        <v>3.37</v>
      </c>
      <c r="E12">
        <v>8.27</v>
      </c>
      <c r="F12">
        <v>5.94</v>
      </c>
      <c r="G12">
        <v>14.01</v>
      </c>
      <c r="H12">
        <v>14.06</v>
      </c>
      <c r="I12">
        <v>14.99</v>
      </c>
      <c r="J12">
        <v>10</v>
      </c>
    </row>
    <row r="13" spans="1:10" ht="15">
      <c r="A13">
        <v>11</v>
      </c>
      <c r="B13">
        <v>1.22</v>
      </c>
      <c r="C13">
        <v>1.92</v>
      </c>
      <c r="D13">
        <v>3.48</v>
      </c>
      <c r="E13">
        <v>8.45</v>
      </c>
      <c r="F13">
        <v>6.16</v>
      </c>
      <c r="G13">
        <v>14.59</v>
      </c>
      <c r="H13">
        <v>14.84</v>
      </c>
      <c r="I13">
        <v>15.81</v>
      </c>
      <c r="J13">
        <v>11</v>
      </c>
    </row>
    <row r="14" spans="1:10" ht="15">
      <c r="A14">
        <v>12</v>
      </c>
      <c r="B14">
        <v>1.24</v>
      </c>
      <c r="C14">
        <v>1.95</v>
      </c>
      <c r="D14">
        <v>3.58</v>
      </c>
      <c r="E14">
        <v>8.62</v>
      </c>
      <c r="F14">
        <v>6.37</v>
      </c>
      <c r="G14">
        <v>15.17</v>
      </c>
      <c r="H14">
        <v>15.63</v>
      </c>
      <c r="I14">
        <v>16.63</v>
      </c>
      <c r="J14">
        <v>12</v>
      </c>
    </row>
    <row r="15" spans="1:10" ht="15">
      <c r="A15">
        <v>13</v>
      </c>
      <c r="B15">
        <v>1.26</v>
      </c>
      <c r="C15">
        <v>1.98</v>
      </c>
      <c r="D15">
        <v>3.68</v>
      </c>
      <c r="E15">
        <v>8.8</v>
      </c>
      <c r="F15">
        <v>6.59</v>
      </c>
      <c r="G15">
        <v>15.75</v>
      </c>
      <c r="H15">
        <v>16.41</v>
      </c>
      <c r="I15">
        <v>17.45</v>
      </c>
      <c r="J15">
        <v>13</v>
      </c>
    </row>
    <row r="16" spans="1:10" ht="15">
      <c r="A16">
        <v>14</v>
      </c>
      <c r="B16">
        <v>1.28</v>
      </c>
      <c r="C16">
        <v>2.01</v>
      </c>
      <c r="D16">
        <v>3.79</v>
      </c>
      <c r="E16">
        <v>8.97</v>
      </c>
      <c r="F16">
        <v>6.81</v>
      </c>
      <c r="G16">
        <v>16.33</v>
      </c>
      <c r="H16">
        <v>17.19</v>
      </c>
      <c r="I16">
        <v>18.27</v>
      </c>
      <c r="J16">
        <v>14</v>
      </c>
    </row>
    <row r="17" spans="1:10" ht="15">
      <c r="A17">
        <v>15</v>
      </c>
      <c r="B17">
        <v>1.3</v>
      </c>
      <c r="C17">
        <v>2.04</v>
      </c>
      <c r="D17">
        <v>3.89</v>
      </c>
      <c r="E17">
        <v>9.15</v>
      </c>
      <c r="F17">
        <v>7.02</v>
      </c>
      <c r="G17">
        <v>16.91</v>
      </c>
      <c r="H17">
        <v>17.98</v>
      </c>
      <c r="I17">
        <v>19.09</v>
      </c>
      <c r="J17">
        <v>15</v>
      </c>
    </row>
    <row r="18" spans="1:10" ht="15">
      <c r="A18">
        <v>16</v>
      </c>
      <c r="B18">
        <v>1.32</v>
      </c>
      <c r="C18">
        <v>2.07</v>
      </c>
      <c r="D18">
        <v>4</v>
      </c>
      <c r="E18">
        <v>9.32</v>
      </c>
      <c r="F18">
        <v>7.24</v>
      </c>
      <c r="G18">
        <v>17.48</v>
      </c>
      <c r="H18">
        <v>18.76</v>
      </c>
      <c r="I18">
        <v>19.92</v>
      </c>
      <c r="J18">
        <v>16</v>
      </c>
    </row>
    <row r="19" spans="1:10" ht="15">
      <c r="A19">
        <v>17</v>
      </c>
      <c r="B19">
        <v>1.34</v>
      </c>
      <c r="C19">
        <v>2.11</v>
      </c>
      <c r="D19">
        <v>4.1</v>
      </c>
      <c r="E19">
        <v>9.5</v>
      </c>
      <c r="F19">
        <v>7.45</v>
      </c>
      <c r="G19">
        <v>18.06</v>
      </c>
      <c r="H19">
        <v>19.55</v>
      </c>
      <c r="I19">
        <v>20.74</v>
      </c>
      <c r="J19">
        <v>17</v>
      </c>
    </row>
    <row r="20" spans="1:10" ht="15">
      <c r="A20">
        <v>18</v>
      </c>
      <c r="B20">
        <v>1.36</v>
      </c>
      <c r="C20">
        <v>2.14</v>
      </c>
      <c r="D20">
        <v>4.2</v>
      </c>
      <c r="E20">
        <v>9.67</v>
      </c>
      <c r="F20">
        <v>7.67</v>
      </c>
      <c r="G20">
        <v>18.64</v>
      </c>
      <c r="H20">
        <v>20.33</v>
      </c>
      <c r="I20">
        <v>21.56</v>
      </c>
      <c r="J20">
        <v>18</v>
      </c>
    </row>
    <row r="21" spans="1:10" ht="15">
      <c r="A21">
        <v>19</v>
      </c>
      <c r="B21">
        <v>1.38</v>
      </c>
      <c r="C21">
        <v>2.17</v>
      </c>
      <c r="D21">
        <v>4.31</v>
      </c>
      <c r="E21">
        <v>9.85</v>
      </c>
      <c r="F21">
        <v>7.88</v>
      </c>
      <c r="G21">
        <v>19.22</v>
      </c>
      <c r="H21">
        <v>21.12</v>
      </c>
      <c r="I21">
        <v>22.38</v>
      </c>
      <c r="J21">
        <v>19</v>
      </c>
    </row>
    <row r="22" spans="1:10" ht="15">
      <c r="A22">
        <v>20</v>
      </c>
      <c r="B22">
        <v>1.4</v>
      </c>
      <c r="C22">
        <v>2.2</v>
      </c>
      <c r="D22">
        <v>4.41</v>
      </c>
      <c r="E22">
        <v>10.02</v>
      </c>
      <c r="F22">
        <v>8.1</v>
      </c>
      <c r="G22">
        <v>19.8</v>
      </c>
      <c r="H22">
        <v>21.9</v>
      </c>
      <c r="I22">
        <v>23.2</v>
      </c>
      <c r="J22">
        <v>20</v>
      </c>
    </row>
    <row r="23" spans="1:10" ht="15">
      <c r="A23">
        <v>21</v>
      </c>
      <c r="B23">
        <v>1.42</v>
      </c>
      <c r="C23">
        <v>2.27</v>
      </c>
      <c r="D23">
        <v>4.5</v>
      </c>
      <c r="E23">
        <v>10.16</v>
      </c>
      <c r="F23">
        <v>8.41</v>
      </c>
      <c r="G23">
        <v>20.86</v>
      </c>
      <c r="H23">
        <v>23.42</v>
      </c>
      <c r="I23">
        <v>24.47</v>
      </c>
      <c r="J23">
        <v>21</v>
      </c>
    </row>
    <row r="24" spans="1:10" ht="15">
      <c r="A24">
        <v>22</v>
      </c>
      <c r="B24">
        <v>1.44</v>
      </c>
      <c r="C24">
        <v>2.34</v>
      </c>
      <c r="D24">
        <v>4.59</v>
      </c>
      <c r="E24">
        <v>10.31</v>
      </c>
      <c r="F24">
        <v>8.72</v>
      </c>
      <c r="G24">
        <v>21.91</v>
      </c>
      <c r="H24">
        <v>24.95</v>
      </c>
      <c r="I24">
        <v>25.74</v>
      </c>
      <c r="J24">
        <v>22</v>
      </c>
    </row>
    <row r="25" spans="1:10" ht="15">
      <c r="A25">
        <v>23</v>
      </c>
      <c r="B25">
        <v>1.46</v>
      </c>
      <c r="C25">
        <v>2.42</v>
      </c>
      <c r="D25">
        <v>4.68</v>
      </c>
      <c r="E25">
        <v>10.45</v>
      </c>
      <c r="F25">
        <v>9.02</v>
      </c>
      <c r="G25">
        <v>22.97</v>
      </c>
      <c r="H25">
        <v>26.47</v>
      </c>
      <c r="I25">
        <v>27.02</v>
      </c>
      <c r="J25">
        <v>23</v>
      </c>
    </row>
    <row r="26" spans="1:10" ht="15">
      <c r="A26">
        <v>24</v>
      </c>
      <c r="B26">
        <v>1.48</v>
      </c>
      <c r="C26">
        <v>2.49</v>
      </c>
      <c r="D26">
        <v>4.77</v>
      </c>
      <c r="E26">
        <v>10.6</v>
      </c>
      <c r="F26">
        <v>9.33</v>
      </c>
      <c r="G26">
        <v>24.02</v>
      </c>
      <c r="H26">
        <v>28</v>
      </c>
      <c r="I26">
        <v>28.29</v>
      </c>
      <c r="J26">
        <v>24</v>
      </c>
    </row>
    <row r="27" spans="1:10" ht="15">
      <c r="A27">
        <v>25</v>
      </c>
      <c r="B27">
        <v>1.5</v>
      </c>
      <c r="C27">
        <v>2.56</v>
      </c>
      <c r="D27">
        <v>4.86</v>
      </c>
      <c r="E27">
        <v>10.74</v>
      </c>
      <c r="F27">
        <v>9.64</v>
      </c>
      <c r="G27">
        <v>25.08</v>
      </c>
      <c r="H27">
        <v>29.52</v>
      </c>
      <c r="I27">
        <v>29.56</v>
      </c>
      <c r="J27">
        <v>25</v>
      </c>
    </row>
    <row r="28" spans="1:10" ht="15">
      <c r="A28">
        <v>26</v>
      </c>
      <c r="B28">
        <v>1.52</v>
      </c>
      <c r="C28">
        <v>2.63</v>
      </c>
      <c r="D28">
        <v>4.95</v>
      </c>
      <c r="E28">
        <v>10.89</v>
      </c>
      <c r="F28">
        <v>9.95</v>
      </c>
      <c r="G28">
        <v>26.13</v>
      </c>
      <c r="H28">
        <v>31.04</v>
      </c>
      <c r="I28">
        <v>30.83</v>
      </c>
      <c r="J28">
        <v>26</v>
      </c>
    </row>
    <row r="29" spans="1:10" ht="15">
      <c r="A29">
        <v>27</v>
      </c>
      <c r="B29">
        <v>1.55</v>
      </c>
      <c r="C29">
        <v>2.7</v>
      </c>
      <c r="D29">
        <v>5.05</v>
      </c>
      <c r="E29">
        <v>11.03</v>
      </c>
      <c r="F29">
        <v>10.25</v>
      </c>
      <c r="G29">
        <v>27.19</v>
      </c>
      <c r="H29">
        <v>32.57</v>
      </c>
      <c r="I29">
        <v>32.1</v>
      </c>
      <c r="J29">
        <v>27</v>
      </c>
    </row>
    <row r="30" spans="1:10" ht="15">
      <c r="A30">
        <v>28</v>
      </c>
      <c r="B30">
        <v>1.57</v>
      </c>
      <c r="C30">
        <v>2.78</v>
      </c>
      <c r="D30">
        <v>5.14</v>
      </c>
      <c r="E30">
        <v>11.18</v>
      </c>
      <c r="F30">
        <v>10.56</v>
      </c>
      <c r="G30">
        <v>28.24</v>
      </c>
      <c r="H30">
        <v>34.09</v>
      </c>
      <c r="I30">
        <v>33.38</v>
      </c>
      <c r="J30">
        <v>28</v>
      </c>
    </row>
    <row r="31" spans="1:10" ht="15">
      <c r="A31">
        <v>29</v>
      </c>
      <c r="B31">
        <v>1.59</v>
      </c>
      <c r="C31">
        <v>2.85</v>
      </c>
      <c r="D31">
        <v>5.23</v>
      </c>
      <c r="E31">
        <v>11.32</v>
      </c>
      <c r="F31">
        <v>10.87</v>
      </c>
      <c r="G31">
        <v>29.3</v>
      </c>
      <c r="H31">
        <v>35.62</v>
      </c>
      <c r="I31">
        <v>34.65</v>
      </c>
      <c r="J31">
        <v>29</v>
      </c>
    </row>
    <row r="32" spans="1:10" ht="15">
      <c r="A32">
        <v>30</v>
      </c>
      <c r="B32">
        <v>1.61</v>
      </c>
      <c r="C32">
        <v>2.92</v>
      </c>
      <c r="D32">
        <v>5.32</v>
      </c>
      <c r="E32">
        <v>11.46</v>
      </c>
      <c r="F32">
        <v>11.18</v>
      </c>
      <c r="G32">
        <v>30.36</v>
      </c>
      <c r="H32">
        <v>37.14</v>
      </c>
      <c r="I32">
        <v>35.92</v>
      </c>
      <c r="J32">
        <v>30</v>
      </c>
    </row>
    <row r="33" spans="1:10" ht="15">
      <c r="A33">
        <v>31</v>
      </c>
      <c r="B33">
        <v>1.63</v>
      </c>
      <c r="C33">
        <v>2.99</v>
      </c>
      <c r="D33">
        <v>5.41</v>
      </c>
      <c r="E33">
        <v>11.61</v>
      </c>
      <c r="F33">
        <v>11.48</v>
      </c>
      <c r="G33">
        <v>31.41</v>
      </c>
      <c r="H33">
        <v>38.66</v>
      </c>
      <c r="I33">
        <v>37.19</v>
      </c>
      <c r="J33">
        <v>31</v>
      </c>
    </row>
    <row r="34" spans="1:10" ht="15">
      <c r="A34">
        <v>32</v>
      </c>
      <c r="B34">
        <v>1.65</v>
      </c>
      <c r="C34">
        <v>3.06</v>
      </c>
      <c r="D34">
        <v>5.5</v>
      </c>
      <c r="E34">
        <v>11.75</v>
      </c>
      <c r="F34">
        <v>11.79</v>
      </c>
      <c r="G34">
        <v>32.47</v>
      </c>
      <c r="H34">
        <v>40.19</v>
      </c>
      <c r="I34">
        <v>38.46</v>
      </c>
      <c r="J34">
        <v>32</v>
      </c>
    </row>
    <row r="35" spans="1:10" ht="15">
      <c r="A35">
        <v>33</v>
      </c>
      <c r="B35">
        <v>1.67</v>
      </c>
      <c r="C35">
        <v>3.14</v>
      </c>
      <c r="D35">
        <v>5.59</v>
      </c>
      <c r="E35">
        <v>11.9</v>
      </c>
      <c r="F35">
        <v>12.1</v>
      </c>
      <c r="G35">
        <v>33.52</v>
      </c>
      <c r="H35">
        <v>41.71</v>
      </c>
      <c r="I35">
        <v>39.74</v>
      </c>
      <c r="J35">
        <v>33</v>
      </c>
    </row>
    <row r="36" spans="1:10" ht="15">
      <c r="A36">
        <v>34</v>
      </c>
      <c r="B36">
        <v>1.69</v>
      </c>
      <c r="C36">
        <v>3.21</v>
      </c>
      <c r="D36">
        <v>5.68</v>
      </c>
      <c r="E36">
        <v>12.04</v>
      </c>
      <c r="F36">
        <v>12.41</v>
      </c>
      <c r="G36">
        <v>34.58</v>
      </c>
      <c r="H36">
        <v>43.24</v>
      </c>
      <c r="I36">
        <v>41.01</v>
      </c>
      <c r="J36">
        <v>34</v>
      </c>
    </row>
    <row r="37" spans="1:10" ht="15">
      <c r="A37">
        <v>35</v>
      </c>
      <c r="B37">
        <v>1.71</v>
      </c>
      <c r="C37">
        <v>3.28</v>
      </c>
      <c r="D37">
        <v>5.77</v>
      </c>
      <c r="E37">
        <v>12.19</v>
      </c>
      <c r="F37">
        <v>12.71</v>
      </c>
      <c r="G37">
        <v>35.63</v>
      </c>
      <c r="H37">
        <v>44.76</v>
      </c>
      <c r="I37">
        <v>42.28</v>
      </c>
      <c r="J37">
        <v>35</v>
      </c>
    </row>
    <row r="38" spans="1:10" ht="15">
      <c r="A38">
        <v>36</v>
      </c>
      <c r="B38">
        <v>1.73</v>
      </c>
      <c r="C38">
        <v>3.35</v>
      </c>
      <c r="D38">
        <v>5.86</v>
      </c>
      <c r="E38">
        <v>12.33</v>
      </c>
      <c r="F38">
        <v>13.02</v>
      </c>
      <c r="G38">
        <v>36.69</v>
      </c>
      <c r="H38">
        <v>46.28</v>
      </c>
      <c r="I38">
        <v>43.55</v>
      </c>
      <c r="J38">
        <v>36</v>
      </c>
    </row>
    <row r="39" spans="1:10" ht="15">
      <c r="A39">
        <v>37</v>
      </c>
      <c r="B39">
        <v>1.75</v>
      </c>
      <c r="C39">
        <v>3.42</v>
      </c>
      <c r="D39">
        <v>5.95</v>
      </c>
      <c r="E39">
        <v>12.47</v>
      </c>
      <c r="F39">
        <v>13.33</v>
      </c>
      <c r="G39">
        <v>37.75</v>
      </c>
      <c r="H39">
        <v>47.81</v>
      </c>
      <c r="I39">
        <v>44.82</v>
      </c>
      <c r="J39">
        <v>37</v>
      </c>
    </row>
    <row r="40" spans="1:10" ht="15">
      <c r="A40">
        <v>38</v>
      </c>
      <c r="B40">
        <v>1.77</v>
      </c>
      <c r="C40">
        <v>3.5</v>
      </c>
      <c r="D40">
        <v>6.04</v>
      </c>
      <c r="E40">
        <v>12.62</v>
      </c>
      <c r="F40">
        <v>13.64</v>
      </c>
      <c r="G40">
        <v>38.8</v>
      </c>
      <c r="H40">
        <v>49.33</v>
      </c>
      <c r="I40">
        <v>46.1</v>
      </c>
      <c r="J40">
        <v>38</v>
      </c>
    </row>
    <row r="41" spans="1:10" ht="15">
      <c r="A41">
        <v>39</v>
      </c>
      <c r="B41">
        <v>1.8</v>
      </c>
      <c r="C41">
        <v>3.57</v>
      </c>
      <c r="D41">
        <v>6.14</v>
      </c>
      <c r="E41">
        <v>12.76</v>
      </c>
      <c r="F41">
        <v>13.94</v>
      </c>
      <c r="G41">
        <v>39.86</v>
      </c>
      <c r="H41">
        <v>50.86</v>
      </c>
      <c r="I41">
        <v>47.37</v>
      </c>
      <c r="J41">
        <v>39</v>
      </c>
    </row>
    <row r="42" spans="1:10" ht="15">
      <c r="A42">
        <v>40</v>
      </c>
      <c r="B42">
        <v>1.82</v>
      </c>
      <c r="C42">
        <v>3.64</v>
      </c>
      <c r="D42">
        <v>6.23</v>
      </c>
      <c r="E42">
        <v>12.91</v>
      </c>
      <c r="F42">
        <v>14.25</v>
      </c>
      <c r="G42">
        <v>40.91</v>
      </c>
      <c r="H42">
        <v>52.38</v>
      </c>
      <c r="I42">
        <v>48.64</v>
      </c>
      <c r="J42">
        <v>40</v>
      </c>
    </row>
    <row r="43" spans="1:10" ht="15">
      <c r="A43">
        <v>41</v>
      </c>
      <c r="B43">
        <v>1.84</v>
      </c>
      <c r="C43">
        <v>3.71</v>
      </c>
      <c r="D43">
        <v>6.32</v>
      </c>
      <c r="E43">
        <v>13.05</v>
      </c>
      <c r="F43">
        <v>14.56</v>
      </c>
      <c r="G43">
        <v>41.97</v>
      </c>
      <c r="H43">
        <v>53.9</v>
      </c>
      <c r="I43">
        <v>49.91</v>
      </c>
      <c r="J43">
        <v>41</v>
      </c>
    </row>
    <row r="44" spans="1:10" ht="15">
      <c r="A44">
        <v>42</v>
      </c>
      <c r="B44">
        <v>1.86</v>
      </c>
      <c r="C44">
        <v>3.78</v>
      </c>
      <c r="D44">
        <v>6.41</v>
      </c>
      <c r="E44">
        <v>13.2</v>
      </c>
      <c r="F44">
        <v>14.87</v>
      </c>
      <c r="G44">
        <v>43.02</v>
      </c>
      <c r="H44">
        <v>55.43</v>
      </c>
      <c r="I44">
        <v>51.18</v>
      </c>
      <c r="J44">
        <v>42</v>
      </c>
    </row>
    <row r="45" spans="1:10" ht="15">
      <c r="A45">
        <v>43</v>
      </c>
      <c r="B45">
        <v>1.88</v>
      </c>
      <c r="C45">
        <v>3.86</v>
      </c>
      <c r="D45">
        <v>6.5</v>
      </c>
      <c r="E45">
        <v>13.34</v>
      </c>
      <c r="F45">
        <v>15.17</v>
      </c>
      <c r="G45">
        <v>44.08</v>
      </c>
      <c r="H45">
        <v>56.95</v>
      </c>
      <c r="I45">
        <v>52.46</v>
      </c>
      <c r="J45">
        <v>43</v>
      </c>
    </row>
    <row r="46" spans="1:10" ht="15">
      <c r="A46">
        <v>44</v>
      </c>
      <c r="B46">
        <v>1.9</v>
      </c>
      <c r="C46">
        <v>3.93</v>
      </c>
      <c r="D46">
        <v>6.59</v>
      </c>
      <c r="E46">
        <v>13.49</v>
      </c>
      <c r="F46">
        <v>15.48</v>
      </c>
      <c r="G46">
        <v>45.13</v>
      </c>
      <c r="H46">
        <v>58.48</v>
      </c>
      <c r="I46">
        <v>53.73</v>
      </c>
      <c r="J46">
        <v>44</v>
      </c>
    </row>
    <row r="47" spans="1:10" ht="15">
      <c r="A47">
        <v>45</v>
      </c>
      <c r="B47">
        <v>1.92</v>
      </c>
      <c r="C47">
        <v>4</v>
      </c>
      <c r="D47">
        <v>6.68</v>
      </c>
      <c r="E47">
        <v>13.63</v>
      </c>
      <c r="F47">
        <v>15.79</v>
      </c>
      <c r="G47">
        <v>46.19</v>
      </c>
      <c r="H47">
        <v>60</v>
      </c>
      <c r="I47">
        <v>55</v>
      </c>
      <c r="J47">
        <v>45</v>
      </c>
    </row>
    <row r="48" spans="1:10" ht="15">
      <c r="A48">
        <v>46</v>
      </c>
      <c r="B48">
        <v>1.96</v>
      </c>
      <c r="C48">
        <v>4.17</v>
      </c>
      <c r="D48">
        <v>6.77</v>
      </c>
      <c r="E48">
        <v>14.05</v>
      </c>
      <c r="F48">
        <v>16.44</v>
      </c>
      <c r="G48">
        <v>48.19</v>
      </c>
      <c r="H48">
        <v>62.48</v>
      </c>
      <c r="I48">
        <v>57.17</v>
      </c>
      <c r="J48">
        <v>46</v>
      </c>
    </row>
    <row r="49" spans="1:10" ht="15">
      <c r="A49">
        <v>47</v>
      </c>
      <c r="B49">
        <v>1.99</v>
      </c>
      <c r="C49">
        <v>4.34</v>
      </c>
      <c r="D49">
        <v>6.86</v>
      </c>
      <c r="E49">
        <v>14.47</v>
      </c>
      <c r="F49">
        <v>17.09</v>
      </c>
      <c r="G49">
        <v>50.19</v>
      </c>
      <c r="H49">
        <v>64.96</v>
      </c>
      <c r="I49">
        <v>59.34</v>
      </c>
      <c r="J49">
        <v>47</v>
      </c>
    </row>
    <row r="50" spans="1:10" ht="15">
      <c r="A50">
        <v>48</v>
      </c>
      <c r="B50">
        <v>2.03</v>
      </c>
      <c r="C50">
        <v>4.52</v>
      </c>
      <c r="D50">
        <v>6.94</v>
      </c>
      <c r="E50">
        <v>14.9</v>
      </c>
      <c r="F50">
        <v>17.73</v>
      </c>
      <c r="G50">
        <v>52.2</v>
      </c>
      <c r="H50">
        <v>67.44</v>
      </c>
      <c r="I50">
        <v>61.5</v>
      </c>
      <c r="J50">
        <v>48</v>
      </c>
    </row>
    <row r="51" spans="1:10" ht="15">
      <c r="A51">
        <v>49</v>
      </c>
      <c r="B51">
        <v>2.06</v>
      </c>
      <c r="C51">
        <v>4.69</v>
      </c>
      <c r="D51">
        <v>7.03</v>
      </c>
      <c r="E51">
        <v>15.32</v>
      </c>
      <c r="F51">
        <v>18.38</v>
      </c>
      <c r="G51">
        <v>54.2</v>
      </c>
      <c r="H51">
        <v>69.92</v>
      </c>
      <c r="I51">
        <v>63.67</v>
      </c>
      <c r="J51">
        <v>49</v>
      </c>
    </row>
    <row r="52" spans="1:10" ht="15">
      <c r="A52">
        <v>50</v>
      </c>
      <c r="B52">
        <v>2.1</v>
      </c>
      <c r="C52">
        <v>4.86</v>
      </c>
      <c r="D52">
        <v>7.12</v>
      </c>
      <c r="E52">
        <v>15.74</v>
      </c>
      <c r="F52">
        <v>19.03</v>
      </c>
      <c r="G52">
        <v>56.2</v>
      </c>
      <c r="H52">
        <v>72.4</v>
      </c>
      <c r="I52">
        <v>65.84</v>
      </c>
      <c r="J52">
        <v>50</v>
      </c>
    </row>
  </sheetData>
  <sheetProtection password="D2F3" sheet="1" objects="1" scenarios="1"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Q45"/>
  <sheetViews>
    <sheetView workbookViewId="0" topLeftCell="K5">
      <selection activeCell="P21" sqref="P21"/>
    </sheetView>
  </sheetViews>
  <sheetFormatPr defaultColWidth="11.421875" defaultRowHeight="15"/>
  <cols>
    <col min="1" max="1" width="23.8515625" style="0" hidden="1" customWidth="1"/>
    <col min="2" max="2" width="22.8515625" style="0" hidden="1" customWidth="1"/>
    <col min="3" max="3" width="18.28125" style="0" hidden="1" customWidth="1"/>
    <col min="4" max="4" width="18.00390625" style="2" hidden="1" customWidth="1"/>
    <col min="5" max="7" width="12.57421875" style="0" hidden="1" customWidth="1"/>
    <col min="8" max="8" width="13.28125" style="2" hidden="1" customWidth="1"/>
    <col min="9" max="9" width="11.421875" style="0" hidden="1" customWidth="1"/>
    <col min="10" max="10" width="36.421875" style="0" hidden="1" customWidth="1"/>
    <col min="11" max="12" width="23.00390625" style="0" customWidth="1"/>
    <col min="13" max="13" width="18.28125" style="0" customWidth="1"/>
    <col min="14" max="15" width="11.421875" style="0" customWidth="1"/>
    <col min="16" max="16" width="39.140625" style="0" customWidth="1"/>
    <col min="17" max="19" width="11.421875" style="2" customWidth="1"/>
    <col min="20" max="22" width="11.421875" style="74" customWidth="1"/>
    <col min="23" max="23" width="14.7109375" style="74" bestFit="1" customWidth="1"/>
    <col min="24" max="24" width="11.421875" style="0" customWidth="1"/>
    <col min="25" max="35" width="11.421875" style="0" hidden="1" customWidth="1"/>
    <col min="36" max="38" width="11.57421875" style="0" hidden="1" customWidth="1"/>
    <col min="39" max="39" width="11.421875" style="0" hidden="1" customWidth="1"/>
    <col min="43" max="43" width="11.421875" style="0" hidden="1" customWidth="1"/>
  </cols>
  <sheetData>
    <row r="1" spans="1:24" ht="171" customHeight="1" thickBot="1">
      <c r="A1" s="5"/>
      <c r="B1" s="6"/>
      <c r="C1" s="6"/>
      <c r="D1" s="99"/>
      <c r="E1" s="6"/>
      <c r="F1" s="6"/>
      <c r="G1" s="6"/>
      <c r="H1" s="99"/>
      <c r="I1" s="8"/>
      <c r="J1" s="6"/>
      <c r="K1" s="6"/>
      <c r="L1" s="6"/>
      <c r="M1" s="6"/>
      <c r="N1" s="6"/>
      <c r="O1" s="6"/>
      <c r="P1" s="6"/>
      <c r="Q1" s="99"/>
      <c r="R1" s="99"/>
      <c r="S1" s="99"/>
      <c r="T1" s="113"/>
      <c r="U1" s="113"/>
      <c r="V1" s="113"/>
      <c r="W1" s="113"/>
      <c r="X1" s="8"/>
    </row>
    <row r="2" spans="1:35" ht="12" customHeight="1">
      <c r="A2" s="197" t="s">
        <v>77</v>
      </c>
      <c r="B2" s="198"/>
      <c r="C2" s="198"/>
      <c r="D2" s="198"/>
      <c r="E2" s="198"/>
      <c r="F2" s="198"/>
      <c r="G2" s="198"/>
      <c r="H2" s="198"/>
      <c r="I2" s="199"/>
      <c r="J2" s="31"/>
      <c r="K2" s="229" t="s">
        <v>77</v>
      </c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24"/>
      <c r="Y2" s="20"/>
      <c r="Z2" s="31"/>
      <c r="AA2" s="31"/>
      <c r="AB2" s="31"/>
      <c r="AG2" t="s">
        <v>79</v>
      </c>
      <c r="AI2" t="s">
        <v>80</v>
      </c>
    </row>
    <row r="3" spans="1:39" ht="14.25" customHeight="1" thickBot="1">
      <c r="A3" s="200"/>
      <c r="B3" s="201"/>
      <c r="C3" s="201"/>
      <c r="D3" s="201"/>
      <c r="E3" s="201"/>
      <c r="F3" s="201"/>
      <c r="G3" s="201"/>
      <c r="H3" s="201"/>
      <c r="I3" s="202"/>
      <c r="J3" s="31"/>
      <c r="K3" s="227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28"/>
      <c r="Y3" s="20"/>
      <c r="Z3" s="31"/>
      <c r="AA3" s="31"/>
      <c r="AB3" s="31"/>
      <c r="AM3" t="s">
        <v>52</v>
      </c>
    </row>
    <row r="4" spans="1:39" ht="15.75" thickBot="1">
      <c r="A4" s="21" t="s">
        <v>78</v>
      </c>
      <c r="B4" s="22" t="s">
        <v>79</v>
      </c>
      <c r="C4" s="203" t="str">
        <f>AI2</f>
        <v>1 Saut + 1 Lancer + 1 Course</v>
      </c>
      <c r="D4" s="204"/>
      <c r="E4" s="206"/>
      <c r="F4" s="206"/>
      <c r="G4" s="206"/>
      <c r="H4" s="207"/>
      <c r="I4" s="9"/>
      <c r="J4" s="30"/>
      <c r="K4" s="21" t="s">
        <v>90</v>
      </c>
      <c r="L4" s="148"/>
      <c r="M4" s="203" t="str">
        <f>IF(L4="Généraliste ",AM8,IF(L4="Technique ",AM10,IF(L4="Spécial ",AM11,"Veuillez sélectionner le Type de Triathlon")))</f>
        <v>Veuillez sélectionner le Type de Triathlon</v>
      </c>
      <c r="N4" s="204"/>
      <c r="O4" s="205"/>
      <c r="P4" s="52" t="s">
        <v>62</v>
      </c>
      <c r="Q4" s="234"/>
      <c r="R4" s="235"/>
      <c r="S4" s="235"/>
      <c r="T4" s="235"/>
      <c r="U4" s="236"/>
      <c r="V4" s="236"/>
      <c r="W4" s="223" t="s">
        <v>103</v>
      </c>
      <c r="X4" s="224"/>
      <c r="Y4" s="20"/>
      <c r="Z4" s="31"/>
      <c r="AA4" s="31"/>
      <c r="AB4" s="31"/>
      <c r="AG4" t="s">
        <v>81</v>
      </c>
      <c r="AI4" t="s">
        <v>220</v>
      </c>
      <c r="AM4" t="s">
        <v>53</v>
      </c>
    </row>
    <row r="5" spans="1:39" ht="15" customHeight="1">
      <c r="A5" s="115" t="s">
        <v>0</v>
      </c>
      <c r="B5" s="195" t="s">
        <v>61</v>
      </c>
      <c r="C5" s="187"/>
      <c r="D5" s="188"/>
      <c r="E5" s="83"/>
      <c r="F5" s="217" t="s">
        <v>2</v>
      </c>
      <c r="G5" s="218"/>
      <c r="H5" s="10"/>
      <c r="I5" s="9"/>
      <c r="J5" s="30"/>
      <c r="K5" s="115" t="s">
        <v>217</v>
      </c>
      <c r="L5" s="195" t="s">
        <v>61</v>
      </c>
      <c r="M5" s="237" t="s">
        <v>10</v>
      </c>
      <c r="N5" s="189"/>
      <c r="O5" s="189"/>
      <c r="P5" s="189"/>
      <c r="Q5" s="189"/>
      <c r="R5" s="189"/>
      <c r="S5" s="189"/>
      <c r="T5" s="190"/>
      <c r="U5" s="232" t="s">
        <v>326</v>
      </c>
      <c r="V5" s="233"/>
      <c r="W5" s="225"/>
      <c r="X5" s="226"/>
      <c r="Y5" s="20"/>
      <c r="Z5" s="31"/>
      <c r="AA5" s="31"/>
      <c r="AB5" s="31"/>
      <c r="AG5" t="s">
        <v>82</v>
      </c>
      <c r="AI5" t="s">
        <v>219</v>
      </c>
      <c r="AM5" t="s">
        <v>189</v>
      </c>
    </row>
    <row r="6" spans="1:39" ht="15.75" thickBot="1">
      <c r="A6" s="24"/>
      <c r="B6" s="210"/>
      <c r="C6" s="212"/>
      <c r="D6" s="213"/>
      <c r="E6" s="85"/>
      <c r="F6" s="221"/>
      <c r="G6" s="222"/>
      <c r="H6" s="10"/>
      <c r="I6" s="9"/>
      <c r="J6" s="30"/>
      <c r="K6" s="42"/>
      <c r="L6" s="196"/>
      <c r="M6" s="238"/>
      <c r="N6" s="239"/>
      <c r="O6" s="239"/>
      <c r="P6" s="239"/>
      <c r="Q6" s="239"/>
      <c r="R6" s="239"/>
      <c r="S6" s="193"/>
      <c r="T6" s="194"/>
      <c r="U6" s="221"/>
      <c r="V6" s="222"/>
      <c r="W6" s="227"/>
      <c r="X6" s="228"/>
      <c r="Y6" s="20"/>
      <c r="Z6" s="31"/>
      <c r="AA6" s="31"/>
      <c r="AB6" s="31"/>
      <c r="AM6" t="s">
        <v>190</v>
      </c>
    </row>
    <row r="7" spans="1:32" ht="30" customHeight="1" thickBot="1">
      <c r="A7" s="19" t="s">
        <v>3</v>
      </c>
      <c r="B7" s="20" t="s">
        <v>4</v>
      </c>
      <c r="C7" s="20" t="s">
        <v>5</v>
      </c>
      <c r="D7" s="20" t="s">
        <v>7</v>
      </c>
      <c r="E7" s="20" t="s">
        <v>85</v>
      </c>
      <c r="F7" s="20" t="s">
        <v>86</v>
      </c>
      <c r="G7" s="20" t="s">
        <v>87</v>
      </c>
      <c r="H7" s="20" t="s">
        <v>88</v>
      </c>
      <c r="I7" s="20" t="s">
        <v>89</v>
      </c>
      <c r="J7" s="30"/>
      <c r="K7" s="283" t="s">
        <v>3</v>
      </c>
      <c r="L7" s="284" t="s">
        <v>4</v>
      </c>
      <c r="M7" s="284" t="s">
        <v>5</v>
      </c>
      <c r="N7" s="43" t="s">
        <v>7</v>
      </c>
      <c r="O7" s="43" t="s">
        <v>102</v>
      </c>
      <c r="P7" s="43" t="s">
        <v>101</v>
      </c>
      <c r="Q7" s="43" t="s">
        <v>92</v>
      </c>
      <c r="R7" s="43" t="s">
        <v>230</v>
      </c>
      <c r="S7" s="43" t="s">
        <v>93</v>
      </c>
      <c r="T7" s="43" t="s">
        <v>231</v>
      </c>
      <c r="U7" s="43" t="s">
        <v>233</v>
      </c>
      <c r="V7" s="43" t="s">
        <v>232</v>
      </c>
      <c r="W7" s="43" t="s">
        <v>88</v>
      </c>
      <c r="X7" s="140" t="s">
        <v>221</v>
      </c>
      <c r="Y7" s="136" t="s">
        <v>222</v>
      </c>
      <c r="Z7" s="44" t="s">
        <v>223</v>
      </c>
      <c r="AA7" s="44" t="s">
        <v>224</v>
      </c>
      <c r="AB7" s="44" t="s">
        <v>225</v>
      </c>
      <c r="AC7" s="43" t="s">
        <v>226</v>
      </c>
      <c r="AD7" s="43" t="s">
        <v>227</v>
      </c>
      <c r="AE7" s="43" t="s">
        <v>228</v>
      </c>
      <c r="AF7" s="43" t="s">
        <v>229</v>
      </c>
    </row>
    <row r="8" spans="1:39" ht="15.75" thickBot="1">
      <c r="A8" s="13"/>
      <c r="B8" s="14"/>
      <c r="C8" s="14"/>
      <c r="D8" s="15" t="s">
        <v>52</v>
      </c>
      <c r="E8" s="27"/>
      <c r="F8" s="27"/>
      <c r="G8" s="27"/>
      <c r="H8" s="27"/>
      <c r="I8" s="104"/>
      <c r="J8" s="30"/>
      <c r="K8" s="56"/>
      <c r="L8" s="57"/>
      <c r="M8" s="69"/>
      <c r="N8" s="67" t="s">
        <v>55</v>
      </c>
      <c r="O8" s="47" t="s">
        <v>91</v>
      </c>
      <c r="P8" s="144" t="str">
        <f aca="true" t="shared" si="0" ref="P8:P38">IF(O8="Généraliste ",$AM$8,IF(O8="Technique ",$AM$10,IF(O8="Spécial ",$AM$11,"Veuillez sélectionner le Type de Triathlon")))</f>
        <v>1 Saut + 1 Lancer + 1 Course</v>
      </c>
      <c r="Q8" s="116">
        <f aca="true" t="shared" si="1" ref="Q8:Q38">IF($O8="Généraliste ",_xlfn.IFERROR($Y8,_xlfn.IFERROR($Z8,0)),IF($O8="Spécial ",_xlfn.IFERROR($Y8,_xlfn.IFERROR($Z8,0)),IF($O8="Technique ",_xlfn.IFERROR($Y8,_xlfn.IFERROR($Z8,0)))))</f>
        <v>0</v>
      </c>
      <c r="R8" s="116">
        <f aca="true" t="shared" si="2" ref="R8:R38">IF($O8="Technique ",_xlfn.IFERROR($AA8,_xlfn.IFERROR($AB8,0)),0)</f>
        <v>0</v>
      </c>
      <c r="S8" s="116">
        <f aca="true" t="shared" si="3" ref="S8:S38">IF($O8="Généraliste ",_xlfn.IFERROR($AC8,_xlfn.IFERROR($AD8,0)),IF($O8="Spécial ",_xlfn.IFERROR($AC8,_xlfn.IFERROR($AD8,0)),IF($O8="Technique ",_xlfn.IFERROR($AC8,_xlfn.IFERROR($AD8,0)))))</f>
        <v>0</v>
      </c>
      <c r="T8" s="116">
        <f aca="true" t="shared" si="4" ref="T8:T38">IF($O8="Technique ",_xlfn.IFERROR($AC8,_xlfn.IFERROR($AD8,0)),0)</f>
        <v>0</v>
      </c>
      <c r="U8" s="116">
        <f aca="true" t="shared" si="5" ref="U8:U38">IF($O8="Généraliste ",_xlfn.IFERROR($AE8,_xlfn.IFERROR($AF8,0)),IF($O8="Spécial ",_xlfn.IFERROR($AE8,_xlfn.IFERROR($AF8,0)),IF($O8="Technique ",_xlfn.IFERROR($AE8,_xlfn.IFERROR($AF8,0)))))</f>
        <v>0</v>
      </c>
      <c r="V8" s="116">
        <f aca="true" t="shared" si="6" ref="V8:V38">IF($O8="Spécial ",_xlfn.IFERROR($AF8,0),0)</f>
        <v>0</v>
      </c>
      <c r="W8" s="116">
        <f aca="true" t="shared" si="7" ref="W8:W38">SUM(Q8:V8)</f>
        <v>0</v>
      </c>
      <c r="X8" s="141"/>
      <c r="Y8" s="137" t="e">
        <f>IF($O8="Généraliste ",VLOOKUP($M8,Tableau17[[Licence]:[Points]],9,FALSE),IF($O8="Technique ",VLOOKUP($M8,Tableau17[[Licence]:[Points]],9,FALSE),IF($O8="Spécial ",VLOOKUP($M8,Tableau17[[Licence]:[Points]],9,FALSE),0)))</f>
        <v>#N/A</v>
      </c>
      <c r="Z8" s="49" t="e">
        <f>IF($O8="Généraliste ",VLOOKUP($M8,Tableau110[[Licence]:[Points]],16,FALSE),IF($O8="Technique ",VLOOKUP($M8,Tableau110[[Licence]:[Points]],16,FALSE),IF($O8="Spécial ",VLOOKUP($M8,Tableau110[[Licence]:[Points]],16,FALSE),0)))</f>
        <v>#N/A</v>
      </c>
      <c r="AA8" s="104">
        <f>IF($O8="Technique ",VLOOKUP($M8,Tableau1711[[Licence]:[Points]],9,FALSE),0)</f>
        <v>0</v>
      </c>
      <c r="AB8" s="104">
        <f>IF($O8="Technique ",VLOOKUP($M8,Tableau11012[[Licence]:[Points]],16,FALSE),0)</f>
        <v>0</v>
      </c>
      <c r="AC8" s="104" t="e">
        <f>VLOOKUP($M8,Tableau16[[Licence]:[Points]],9,FALSE)</f>
        <v>#N/A</v>
      </c>
      <c r="AD8" s="104" t="e">
        <f>VLOOKUP($M8,Tableau1613[[Licence]:[Points]],9,FALSE)</f>
        <v>#N/A</v>
      </c>
      <c r="AE8" s="104" t="e">
        <f>VLOOKUP($M8,Tableau189[[Licence]:[Points]],12,FALSE)</f>
        <v>#N/A</v>
      </c>
      <c r="AF8" s="104" t="e">
        <f>VLOOKUP($M8,Tableau18914[[Licence]:[Points]],12,FALSE)</f>
        <v>#N/A</v>
      </c>
      <c r="AK8" t="s">
        <v>91</v>
      </c>
      <c r="AM8" t="s">
        <v>80</v>
      </c>
    </row>
    <row r="9" spans="1:43" ht="15.75" thickBot="1">
      <c r="A9" s="13"/>
      <c r="B9" s="14"/>
      <c r="C9" s="14"/>
      <c r="D9" s="15" t="s">
        <v>52</v>
      </c>
      <c r="E9" s="14"/>
      <c r="F9" s="14"/>
      <c r="G9" s="14"/>
      <c r="H9" s="14"/>
      <c r="I9" s="104"/>
      <c r="J9" s="30"/>
      <c r="K9" s="60"/>
      <c r="L9" s="46"/>
      <c r="M9" s="70"/>
      <c r="N9" s="67" t="s">
        <v>54</v>
      </c>
      <c r="O9" s="47" t="s">
        <v>81</v>
      </c>
      <c r="P9" s="144" t="str">
        <f t="shared" si="0"/>
        <v>2 concours &amp; 1 course.</v>
      </c>
      <c r="Q9" s="116">
        <f t="shared" si="1"/>
        <v>0</v>
      </c>
      <c r="R9" s="116">
        <f t="shared" si="2"/>
        <v>0</v>
      </c>
      <c r="S9" s="116">
        <f t="shared" si="3"/>
        <v>0</v>
      </c>
      <c r="T9" s="117">
        <f t="shared" si="4"/>
        <v>0</v>
      </c>
      <c r="U9" s="117">
        <f t="shared" si="5"/>
        <v>0</v>
      </c>
      <c r="V9" s="117">
        <f t="shared" si="6"/>
        <v>0</v>
      </c>
      <c r="W9" s="117">
        <f t="shared" si="7"/>
        <v>0</v>
      </c>
      <c r="X9" s="70"/>
      <c r="Y9" s="138" t="e">
        <f>IF($O9="Généraliste ",VLOOKUP($M9,Tableau17[[Licence]:[Points]],9,FALSE),IF($O9="Technique ",VLOOKUP($M9,Tableau17[[Licence]:[Points]],9,FALSE),IF($O9="Spécial ",VLOOKUP($M9,Tableau17[[Licence]:[Points]],9,FALSE),0)))</f>
        <v>#N/A</v>
      </c>
      <c r="Z9" s="49" t="e">
        <f>IF($O9="Généraliste ",VLOOKUP($M9,Tableau110[[Licence]:[Points]],16,FALSE),IF($O9="Technique ",VLOOKUP($M9,Tableau110[[Licence]:[Points]],16,FALSE),IF($O9="Spécial ",VLOOKUP($M9,Tableau110[[Licence]:[Points]],16,FALSE),0)))</f>
        <v>#N/A</v>
      </c>
      <c r="AA9" s="104" t="e">
        <f>IF($O9="Technique ",VLOOKUP($M9,Tableau1711[[Licence]:[Points]],9,FALSE),0)</f>
        <v>#N/A</v>
      </c>
      <c r="AB9" s="104" t="e">
        <f>IF($O9="Technique ",VLOOKUP($M9,Tableau11012[[Licence]:[Points]],16,FALSE),0)</f>
        <v>#N/A</v>
      </c>
      <c r="AC9" s="104" t="e">
        <f>VLOOKUP($M9,Tableau16[[Licence]:[Points]],9,FALSE)</f>
        <v>#N/A</v>
      </c>
      <c r="AD9" s="104" t="e">
        <f>VLOOKUP($M9,Tableau1613[[Licence]:[Points]],9,FALSE)</f>
        <v>#N/A</v>
      </c>
      <c r="AE9" s="104" t="e">
        <f>VLOOKUP($M9,Tableau189[[Licence]:[Points]],12,FALSE)</f>
        <v>#N/A</v>
      </c>
      <c r="AF9" s="104" t="e">
        <f>VLOOKUP($M9,Tableau18914[[Licence]:[Points]],12,FALSE)</f>
        <v>#N/A</v>
      </c>
      <c r="AQ9" t="s">
        <v>52</v>
      </c>
    </row>
    <row r="10" spans="1:43" ht="15.75" thickBot="1">
      <c r="A10" s="13"/>
      <c r="B10" s="14"/>
      <c r="C10" s="14"/>
      <c r="D10" s="15" t="s">
        <v>52</v>
      </c>
      <c r="E10" s="14"/>
      <c r="F10" s="14"/>
      <c r="G10" s="14"/>
      <c r="H10" s="14"/>
      <c r="I10" s="104"/>
      <c r="J10" s="30"/>
      <c r="K10" s="60"/>
      <c r="L10" s="46"/>
      <c r="M10" s="70"/>
      <c r="N10" s="67" t="s">
        <v>54</v>
      </c>
      <c r="O10" s="47" t="s">
        <v>91</v>
      </c>
      <c r="P10" s="144" t="str">
        <f t="shared" si="0"/>
        <v>1 Saut + 1 Lancer + 1 Course</v>
      </c>
      <c r="Q10" s="116">
        <f t="shared" si="1"/>
        <v>0</v>
      </c>
      <c r="R10" s="116">
        <f t="shared" si="2"/>
        <v>0</v>
      </c>
      <c r="S10" s="116">
        <f t="shared" si="3"/>
        <v>0</v>
      </c>
      <c r="T10" s="117">
        <f t="shared" si="4"/>
        <v>0</v>
      </c>
      <c r="U10" s="117">
        <f t="shared" si="5"/>
        <v>0</v>
      </c>
      <c r="V10" s="117">
        <f t="shared" si="6"/>
        <v>0</v>
      </c>
      <c r="W10" s="117">
        <f t="shared" si="7"/>
        <v>0</v>
      </c>
      <c r="X10" s="70"/>
      <c r="Y10" s="138" t="e">
        <f>IF($O10="Généraliste ",VLOOKUP($M10,Tableau17[[Licence]:[Points]],9,FALSE),IF($O10="Technique ",VLOOKUP($M10,Tableau17[[Licence]:[Points]],9,FALSE),IF($O10="Spécial ",VLOOKUP($M10,Tableau17[[Licence]:[Points]],9,FALSE),0)))</f>
        <v>#N/A</v>
      </c>
      <c r="Z10" s="49" t="e">
        <f>IF($O10="Généraliste ",VLOOKUP($M10,Tableau110[[Licence]:[Points]],16,FALSE),IF($O10="Technique ",VLOOKUP($M10,Tableau110[[Licence]:[Points]],16,FALSE),IF($O10="Spécial ",VLOOKUP($M10,Tableau110[[Licence]:[Points]],16,FALSE),0)))</f>
        <v>#N/A</v>
      </c>
      <c r="AA10" s="104">
        <f>IF($O10="Technique ",VLOOKUP($M10,Tableau1711[[Licence]:[Points]],9,FALSE),0)</f>
        <v>0</v>
      </c>
      <c r="AB10" s="104">
        <f>IF($O10="Technique ",VLOOKUP($M10,Tableau11012[[Licence]:[Points]],16,FALSE),0)</f>
        <v>0</v>
      </c>
      <c r="AC10" s="104" t="e">
        <f>VLOOKUP($M10,Tableau16[[Licence]:[Points]],9,FALSE)</f>
        <v>#N/A</v>
      </c>
      <c r="AD10" s="104" t="e">
        <f>VLOOKUP($M10,Tableau1613[[Licence]:[Points]],9,FALSE)</f>
        <v>#N/A</v>
      </c>
      <c r="AE10" s="104" t="e">
        <f>VLOOKUP($M10,Tableau189[[Licence]:[Points]],12,FALSE)</f>
        <v>#N/A</v>
      </c>
      <c r="AF10" s="104" t="e">
        <f>VLOOKUP($M10,Tableau18914[[Licence]:[Points]],12,FALSE)</f>
        <v>#N/A</v>
      </c>
      <c r="AK10" t="s">
        <v>81</v>
      </c>
      <c r="AM10" t="s">
        <v>220</v>
      </c>
      <c r="AQ10" t="s">
        <v>53</v>
      </c>
    </row>
    <row r="11" spans="1:43" ht="15.75" thickBot="1">
      <c r="A11" s="13"/>
      <c r="B11" s="14"/>
      <c r="C11" s="14"/>
      <c r="D11" s="15" t="s">
        <v>52</v>
      </c>
      <c r="E11" s="14"/>
      <c r="F11" s="14"/>
      <c r="G11" s="14"/>
      <c r="H11" s="14"/>
      <c r="I11" s="104"/>
      <c r="J11" s="30"/>
      <c r="K11" s="60"/>
      <c r="L11" s="46"/>
      <c r="M11" s="70"/>
      <c r="N11" s="67" t="s">
        <v>54</v>
      </c>
      <c r="O11" s="47" t="s">
        <v>91</v>
      </c>
      <c r="P11" s="144" t="str">
        <f t="shared" si="0"/>
        <v>1 Saut + 1 Lancer + 1 Course</v>
      </c>
      <c r="Q11" s="116">
        <f t="shared" si="1"/>
        <v>0</v>
      </c>
      <c r="R11" s="116">
        <f t="shared" si="2"/>
        <v>0</v>
      </c>
      <c r="S11" s="116">
        <f t="shared" si="3"/>
        <v>0</v>
      </c>
      <c r="T11" s="117">
        <f t="shared" si="4"/>
        <v>0</v>
      </c>
      <c r="U11" s="117">
        <f t="shared" si="5"/>
        <v>0</v>
      </c>
      <c r="V11" s="117">
        <f t="shared" si="6"/>
        <v>0</v>
      </c>
      <c r="W11" s="117">
        <f t="shared" si="7"/>
        <v>0</v>
      </c>
      <c r="X11" s="70"/>
      <c r="Y11" s="138" t="e">
        <f>IF($O11="Généraliste ",VLOOKUP($M11,Tableau17[[Licence]:[Points]],9,FALSE),IF($O11="Technique ",VLOOKUP($M11,Tableau17[[Licence]:[Points]],9,FALSE),IF($O11="Spécial ",VLOOKUP($M11,Tableau17[[Licence]:[Points]],9,FALSE),0)))</f>
        <v>#N/A</v>
      </c>
      <c r="Z11" s="49" t="e">
        <f>IF($O11="Généraliste ",VLOOKUP($M11,Tableau110[[Licence]:[Points]],16,FALSE),IF($O11="Technique ",VLOOKUP($M11,Tableau110[[Licence]:[Points]],16,FALSE),IF($O11="Spécial ",VLOOKUP($M11,Tableau110[[Licence]:[Points]],16,FALSE),0)))</f>
        <v>#N/A</v>
      </c>
      <c r="AA11" s="104">
        <f>IF($O11="Technique ",VLOOKUP($M11,Tableau1711[[Licence]:[Points]],9,FALSE),0)</f>
        <v>0</v>
      </c>
      <c r="AB11" s="104">
        <f>IF($O11="Technique ",VLOOKUP($M11,Tableau11012[[Licence]:[Points]],16,FALSE),0)</f>
        <v>0</v>
      </c>
      <c r="AC11" s="104" t="e">
        <f>VLOOKUP($M11,Tableau16[[Licence]:[Points]],9,FALSE)</f>
        <v>#N/A</v>
      </c>
      <c r="AD11" s="104" t="e">
        <f>VLOOKUP($M11,Tableau1613[[Licence]:[Points]],9,FALSE)</f>
        <v>#N/A</v>
      </c>
      <c r="AE11" s="104" t="e">
        <f>VLOOKUP($M11,Tableau189[[Licence]:[Points]],12,FALSE)</f>
        <v>#N/A</v>
      </c>
      <c r="AF11" s="104" t="e">
        <f>VLOOKUP($M11,Tableau18914[[Licence]:[Points]],12,FALSE)</f>
        <v>#N/A</v>
      </c>
      <c r="AK11" t="s">
        <v>82</v>
      </c>
      <c r="AM11" t="s">
        <v>219</v>
      </c>
      <c r="AQ11" t="s">
        <v>54</v>
      </c>
    </row>
    <row r="12" spans="1:43" ht="15.75" thickBot="1">
      <c r="A12" s="13"/>
      <c r="B12" s="14"/>
      <c r="C12" s="14"/>
      <c r="D12" s="15" t="s">
        <v>52</v>
      </c>
      <c r="E12" s="14"/>
      <c r="F12" s="14"/>
      <c r="G12" s="14"/>
      <c r="H12" s="14"/>
      <c r="I12" s="104"/>
      <c r="J12" s="30"/>
      <c r="K12" s="60"/>
      <c r="L12" s="46"/>
      <c r="M12" s="70"/>
      <c r="N12" s="67" t="s">
        <v>190</v>
      </c>
      <c r="O12" s="47" t="s">
        <v>82</v>
      </c>
      <c r="P12" s="144" t="str">
        <f t="shared" si="0"/>
        <v>2 courses (dont 1&lt;200m) &amp; 1 concours</v>
      </c>
      <c r="Q12" s="116">
        <f t="shared" si="1"/>
        <v>0</v>
      </c>
      <c r="R12" s="116">
        <f t="shared" si="2"/>
        <v>0</v>
      </c>
      <c r="S12" s="116">
        <f t="shared" si="3"/>
        <v>0</v>
      </c>
      <c r="T12" s="117">
        <f t="shared" si="4"/>
        <v>0</v>
      </c>
      <c r="U12" s="117">
        <f t="shared" si="5"/>
        <v>0</v>
      </c>
      <c r="V12" s="117">
        <f t="shared" si="6"/>
        <v>0</v>
      </c>
      <c r="W12" s="117">
        <f t="shared" si="7"/>
        <v>0</v>
      </c>
      <c r="X12" s="70"/>
      <c r="Y12" s="138" t="e">
        <f>IF($O12="Généraliste ",VLOOKUP($M12,Tableau17[[Licence]:[Points]],9,FALSE),IF($O12="Technique ",VLOOKUP($M12,Tableau17[[Licence]:[Points]],9,FALSE),IF($O12="Spécial ",VLOOKUP($M12,Tableau17[[Licence]:[Points]],9,FALSE),0)))</f>
        <v>#N/A</v>
      </c>
      <c r="Z12" s="49" t="e">
        <f>IF($O12="Généraliste ",VLOOKUP($M12,Tableau110[[Licence]:[Points]],16,FALSE),IF($O12="Technique ",VLOOKUP($M12,Tableau110[[Licence]:[Points]],16,FALSE),IF($O12="Spécial ",VLOOKUP($M12,Tableau110[[Licence]:[Points]],16,FALSE),0)))</f>
        <v>#N/A</v>
      </c>
      <c r="AA12" s="104">
        <f>IF($O12="Technique ",VLOOKUP($M12,Tableau1711[[Licence]:[Points]],9,FALSE),0)</f>
        <v>0</v>
      </c>
      <c r="AB12" s="104">
        <f>IF($O12="Technique ",VLOOKUP($M12,Tableau11012[[Licence]:[Points]],16,FALSE),0)</f>
        <v>0</v>
      </c>
      <c r="AC12" s="104" t="e">
        <f>VLOOKUP($M12,Tableau16[[Licence]:[Points]],9,FALSE)</f>
        <v>#N/A</v>
      </c>
      <c r="AD12" s="104" t="e">
        <f>VLOOKUP($M12,Tableau1613[[Licence]:[Points]],9,FALSE)</f>
        <v>#N/A</v>
      </c>
      <c r="AE12" s="104" t="e">
        <f>VLOOKUP($M12,Tableau189[[Licence]:[Points]],12,FALSE)</f>
        <v>#N/A</v>
      </c>
      <c r="AF12" s="104" t="e">
        <f>VLOOKUP($M12,Tableau18914[[Licence]:[Points]],12,FALSE)</f>
        <v>#N/A</v>
      </c>
      <c r="AQ12" t="s">
        <v>55</v>
      </c>
    </row>
    <row r="13" spans="1:32" ht="15.75" thickBot="1">
      <c r="A13" s="13"/>
      <c r="B13" s="14"/>
      <c r="C13" s="14"/>
      <c r="D13" s="15" t="s">
        <v>52</v>
      </c>
      <c r="E13" s="14"/>
      <c r="F13" s="14"/>
      <c r="G13" s="14"/>
      <c r="H13" s="14"/>
      <c r="I13" s="104"/>
      <c r="J13" s="30"/>
      <c r="K13" s="60"/>
      <c r="L13" s="46"/>
      <c r="M13" s="70"/>
      <c r="N13" s="67" t="s">
        <v>55</v>
      </c>
      <c r="O13" s="47" t="s">
        <v>82</v>
      </c>
      <c r="P13" s="144" t="str">
        <f t="shared" si="0"/>
        <v>2 courses (dont 1&lt;200m) &amp; 1 concours</v>
      </c>
      <c r="Q13" s="116">
        <f t="shared" si="1"/>
        <v>0</v>
      </c>
      <c r="R13" s="116">
        <f t="shared" si="2"/>
        <v>0</v>
      </c>
      <c r="S13" s="116">
        <f t="shared" si="3"/>
        <v>0</v>
      </c>
      <c r="T13" s="117">
        <f t="shared" si="4"/>
        <v>0</v>
      </c>
      <c r="U13" s="117">
        <f t="shared" si="5"/>
        <v>0</v>
      </c>
      <c r="V13" s="117">
        <f t="shared" si="6"/>
        <v>0</v>
      </c>
      <c r="W13" s="117">
        <f t="shared" si="7"/>
        <v>0</v>
      </c>
      <c r="X13" s="70"/>
      <c r="Y13" s="138" t="e">
        <f>IF($O13="Généraliste ",VLOOKUP($M13,Tableau17[[Licence]:[Points]],9,FALSE),IF($O13="Technique ",VLOOKUP($M13,Tableau17[[Licence]:[Points]],9,FALSE),IF($O13="Spécial ",VLOOKUP($M13,Tableau17[[Licence]:[Points]],9,FALSE),0)))</f>
        <v>#N/A</v>
      </c>
      <c r="Z13" s="49" t="e">
        <f>IF($O13="Généraliste ",VLOOKUP($M13,Tableau110[[Licence]:[Points]],16,FALSE),IF($O13="Technique ",VLOOKUP($M13,Tableau110[[Licence]:[Points]],16,FALSE),IF($O13="Spécial ",VLOOKUP($M13,Tableau110[[Licence]:[Points]],16,FALSE),0)))</f>
        <v>#N/A</v>
      </c>
      <c r="AA13" s="104">
        <f>IF($O13="Technique ",VLOOKUP($M13,Tableau1711[[Licence]:[Points]],9,FALSE),0)</f>
        <v>0</v>
      </c>
      <c r="AB13" s="104">
        <f>IF($O13="Technique ",VLOOKUP($M13,Tableau11012[[Licence]:[Points]],16,FALSE),0)</f>
        <v>0</v>
      </c>
      <c r="AC13" s="104" t="e">
        <f>VLOOKUP($M13,Tableau16[[Licence]:[Points]],9,FALSE)</f>
        <v>#N/A</v>
      </c>
      <c r="AD13" s="104" t="e">
        <f>VLOOKUP($M13,Tableau1613[[Licence]:[Points]],9,FALSE)</f>
        <v>#N/A</v>
      </c>
      <c r="AE13" s="104" t="e">
        <f>VLOOKUP($M13,Tableau189[[Licence]:[Points]],12,FALSE)</f>
        <v>#N/A</v>
      </c>
      <c r="AF13" s="104" t="e">
        <f>VLOOKUP($M13,Tableau18914[[Licence]:[Points]],12,FALSE)</f>
        <v>#N/A</v>
      </c>
    </row>
    <row r="14" spans="1:32" ht="15.75" thickBot="1">
      <c r="A14" s="13"/>
      <c r="B14" s="14"/>
      <c r="C14" s="14"/>
      <c r="D14" s="15" t="s">
        <v>52</v>
      </c>
      <c r="E14" s="14"/>
      <c r="F14" s="14"/>
      <c r="G14" s="14"/>
      <c r="H14" s="14"/>
      <c r="I14" s="104"/>
      <c r="J14" s="30"/>
      <c r="K14" s="60"/>
      <c r="L14" s="46"/>
      <c r="M14" s="70"/>
      <c r="N14" s="67" t="s">
        <v>55</v>
      </c>
      <c r="O14" s="47" t="s">
        <v>81</v>
      </c>
      <c r="P14" s="144" t="str">
        <f t="shared" si="0"/>
        <v>2 concours &amp; 1 course.</v>
      </c>
      <c r="Q14" s="116">
        <f t="shared" si="1"/>
        <v>0</v>
      </c>
      <c r="R14" s="116">
        <f t="shared" si="2"/>
        <v>0</v>
      </c>
      <c r="S14" s="116">
        <f t="shared" si="3"/>
        <v>0</v>
      </c>
      <c r="T14" s="117">
        <f t="shared" si="4"/>
        <v>0</v>
      </c>
      <c r="U14" s="117">
        <f t="shared" si="5"/>
        <v>0</v>
      </c>
      <c r="V14" s="117">
        <f t="shared" si="6"/>
        <v>0</v>
      </c>
      <c r="W14" s="117">
        <f t="shared" si="7"/>
        <v>0</v>
      </c>
      <c r="X14" s="70"/>
      <c r="Y14" s="138" t="e">
        <f>IF($O14="Généraliste ",VLOOKUP($M14,Tableau17[[Licence]:[Points]],9,FALSE),IF($O14="Technique ",VLOOKUP($M14,Tableau17[[Licence]:[Points]],9,FALSE),IF($O14="Spécial ",VLOOKUP($M14,Tableau17[[Licence]:[Points]],9,FALSE),0)))</f>
        <v>#N/A</v>
      </c>
      <c r="Z14" s="49" t="e">
        <f>IF($O14="Généraliste ",VLOOKUP($M14,Tableau110[[Licence]:[Points]],16,FALSE),IF($O14="Technique ",VLOOKUP($M14,Tableau110[[Licence]:[Points]],16,FALSE),IF($O14="Spécial ",VLOOKUP($M14,Tableau110[[Licence]:[Points]],16,FALSE),0)))</f>
        <v>#N/A</v>
      </c>
      <c r="AA14" s="104" t="e">
        <f>IF($O14="Technique ",VLOOKUP($M14,Tableau1711[[Licence]:[Points]],9,FALSE),0)</f>
        <v>#N/A</v>
      </c>
      <c r="AB14" s="104" t="e">
        <f>IF($O14="Technique ",VLOOKUP($M14,Tableau11012[[Licence]:[Points]],16,FALSE),0)</f>
        <v>#N/A</v>
      </c>
      <c r="AC14" s="104" t="e">
        <f>VLOOKUP($M14,Tableau16[[Licence]:[Points]],9,FALSE)</f>
        <v>#N/A</v>
      </c>
      <c r="AD14" s="104" t="e">
        <f>VLOOKUP($M14,Tableau1613[[Licence]:[Points]],9,FALSE)</f>
        <v>#N/A</v>
      </c>
      <c r="AE14" s="104" t="e">
        <f>VLOOKUP($M14,Tableau189[[Licence]:[Points]],12,FALSE)</f>
        <v>#N/A</v>
      </c>
      <c r="AF14" s="104" t="e">
        <f>VLOOKUP($M14,Tableau18914[[Licence]:[Points]],12,FALSE)</f>
        <v>#N/A</v>
      </c>
    </row>
    <row r="15" spans="1:32" ht="15.75" thickBot="1">
      <c r="A15" s="13"/>
      <c r="B15" s="14"/>
      <c r="C15" s="14"/>
      <c r="D15" s="15" t="s">
        <v>52</v>
      </c>
      <c r="E15" s="14"/>
      <c r="F15" s="14"/>
      <c r="G15" s="14"/>
      <c r="H15" s="14"/>
      <c r="I15" s="104"/>
      <c r="J15" s="30"/>
      <c r="K15" s="60"/>
      <c r="L15" s="46"/>
      <c r="M15" s="70"/>
      <c r="N15" s="67" t="s">
        <v>54</v>
      </c>
      <c r="O15" s="47" t="s">
        <v>81</v>
      </c>
      <c r="P15" s="144" t="str">
        <f t="shared" si="0"/>
        <v>2 concours &amp; 1 course.</v>
      </c>
      <c r="Q15" s="116">
        <f t="shared" si="1"/>
        <v>0</v>
      </c>
      <c r="R15" s="116">
        <f t="shared" si="2"/>
        <v>0</v>
      </c>
      <c r="S15" s="116">
        <f t="shared" si="3"/>
        <v>0</v>
      </c>
      <c r="T15" s="117">
        <f t="shared" si="4"/>
        <v>0</v>
      </c>
      <c r="U15" s="117">
        <f t="shared" si="5"/>
        <v>0</v>
      </c>
      <c r="V15" s="117">
        <f t="shared" si="6"/>
        <v>0</v>
      </c>
      <c r="W15" s="117">
        <f t="shared" si="7"/>
        <v>0</v>
      </c>
      <c r="X15" s="70"/>
      <c r="Y15" s="138" t="e">
        <f>IF($O15="Généraliste ",VLOOKUP($M15,Tableau17[[Licence]:[Points]],9,FALSE),IF($O15="Technique ",VLOOKUP($M15,Tableau17[[Licence]:[Points]],9,FALSE),IF($O15="Spécial ",VLOOKUP($M15,Tableau17[[Licence]:[Points]],9,FALSE),0)))</f>
        <v>#N/A</v>
      </c>
      <c r="Z15" s="49" t="e">
        <f>IF($O15="Généraliste ",VLOOKUP($M15,Tableau110[[Licence]:[Points]],16,FALSE),IF($O15="Technique ",VLOOKUP($M15,Tableau110[[Licence]:[Points]],16,FALSE),IF($O15="Spécial ",VLOOKUP($M15,Tableau110[[Licence]:[Points]],16,FALSE),0)))</f>
        <v>#N/A</v>
      </c>
      <c r="AA15" s="104" t="e">
        <f>IF($O15="Technique ",VLOOKUP($M15,Tableau1711[[Licence]:[Points]],9,FALSE),0)</f>
        <v>#N/A</v>
      </c>
      <c r="AB15" s="104" t="e">
        <f>IF($O15="Technique ",VLOOKUP($M15,Tableau11012[[Licence]:[Points]],16,FALSE),0)</f>
        <v>#N/A</v>
      </c>
      <c r="AC15" s="104" t="e">
        <f>VLOOKUP($M15,Tableau16[[Licence]:[Points]],9,FALSE)</f>
        <v>#N/A</v>
      </c>
      <c r="AD15" s="104" t="e">
        <f>VLOOKUP($M15,Tableau1613[[Licence]:[Points]],9,FALSE)</f>
        <v>#N/A</v>
      </c>
      <c r="AE15" s="104" t="e">
        <f>VLOOKUP($M15,Tableau189[[Licence]:[Points]],12,FALSE)</f>
        <v>#N/A</v>
      </c>
      <c r="AF15" s="104" t="e">
        <f>VLOOKUP($M15,Tableau18914[[Licence]:[Points]],12,FALSE)</f>
        <v>#N/A</v>
      </c>
    </row>
    <row r="16" spans="1:32" ht="15.75" thickBot="1">
      <c r="A16" s="13"/>
      <c r="B16" s="14"/>
      <c r="C16" s="14"/>
      <c r="D16" s="15" t="s">
        <v>52</v>
      </c>
      <c r="E16" s="14"/>
      <c r="F16" s="14"/>
      <c r="G16" s="14"/>
      <c r="H16" s="14"/>
      <c r="I16" s="104"/>
      <c r="J16" s="30"/>
      <c r="K16" s="60"/>
      <c r="L16" s="46"/>
      <c r="M16" s="70"/>
      <c r="N16" s="67" t="s">
        <v>55</v>
      </c>
      <c r="O16" s="47" t="s">
        <v>81</v>
      </c>
      <c r="P16" s="144" t="str">
        <f t="shared" si="0"/>
        <v>2 concours &amp; 1 course.</v>
      </c>
      <c r="Q16" s="116">
        <f t="shared" si="1"/>
        <v>0</v>
      </c>
      <c r="R16" s="116">
        <f t="shared" si="2"/>
        <v>0</v>
      </c>
      <c r="S16" s="116">
        <f t="shared" si="3"/>
        <v>0</v>
      </c>
      <c r="T16" s="117">
        <f t="shared" si="4"/>
        <v>0</v>
      </c>
      <c r="U16" s="117">
        <f t="shared" si="5"/>
        <v>0</v>
      </c>
      <c r="V16" s="117">
        <f t="shared" si="6"/>
        <v>0</v>
      </c>
      <c r="W16" s="117">
        <f t="shared" si="7"/>
        <v>0</v>
      </c>
      <c r="X16" s="70"/>
      <c r="Y16" s="138" t="e">
        <f>IF($O16="Généraliste ",VLOOKUP($M16,Tableau17[[Licence]:[Points]],9,FALSE),IF($O16="Technique ",VLOOKUP($M16,Tableau17[[Licence]:[Points]],9,FALSE),IF($O16="Spécial ",VLOOKUP($M16,Tableau17[[Licence]:[Points]],9,FALSE),0)))</f>
        <v>#N/A</v>
      </c>
      <c r="Z16" s="49" t="e">
        <f>IF($O16="Généraliste ",VLOOKUP($M16,Tableau110[[Licence]:[Points]],16,FALSE),IF($O16="Technique ",VLOOKUP($M16,Tableau110[[Licence]:[Points]],16,FALSE),IF($O16="Spécial ",VLOOKUP($M16,Tableau110[[Licence]:[Points]],16,FALSE),0)))</f>
        <v>#N/A</v>
      </c>
      <c r="AA16" s="104" t="e">
        <f>IF($O16="Technique ",VLOOKUP($M16,Tableau1711[[Licence]:[Points]],9,FALSE),0)</f>
        <v>#N/A</v>
      </c>
      <c r="AB16" s="104" t="e">
        <f>IF($O16="Technique ",VLOOKUP($M16,Tableau11012[[Licence]:[Points]],16,FALSE),0)</f>
        <v>#N/A</v>
      </c>
      <c r="AC16" s="104" t="e">
        <f>VLOOKUP($M16,Tableau16[[Licence]:[Points]],9,FALSE)</f>
        <v>#N/A</v>
      </c>
      <c r="AD16" s="104" t="e">
        <f>VLOOKUP($M16,Tableau1613[[Licence]:[Points]],9,FALSE)</f>
        <v>#N/A</v>
      </c>
      <c r="AE16" s="104" t="e">
        <f>VLOOKUP($M16,Tableau189[[Licence]:[Points]],12,FALSE)</f>
        <v>#N/A</v>
      </c>
      <c r="AF16" s="104" t="e">
        <f>VLOOKUP($M16,Tableau18914[[Licence]:[Points]],12,FALSE)</f>
        <v>#N/A</v>
      </c>
    </row>
    <row r="17" spans="1:32" ht="15.75" thickBot="1">
      <c r="A17" s="13"/>
      <c r="B17" s="14"/>
      <c r="C17" s="14"/>
      <c r="D17" s="15" t="s">
        <v>52</v>
      </c>
      <c r="E17" s="14"/>
      <c r="F17" s="14"/>
      <c r="G17" s="14"/>
      <c r="H17" s="14"/>
      <c r="I17" s="104"/>
      <c r="J17" s="30"/>
      <c r="K17" s="60"/>
      <c r="L17" s="46"/>
      <c r="M17" s="70"/>
      <c r="N17" s="67" t="s">
        <v>54</v>
      </c>
      <c r="O17" s="47" t="s">
        <v>91</v>
      </c>
      <c r="P17" s="144" t="str">
        <f t="shared" si="0"/>
        <v>1 Saut + 1 Lancer + 1 Course</v>
      </c>
      <c r="Q17" s="116">
        <f t="shared" si="1"/>
        <v>0</v>
      </c>
      <c r="R17" s="116">
        <f t="shared" si="2"/>
        <v>0</v>
      </c>
      <c r="S17" s="116">
        <f t="shared" si="3"/>
        <v>0</v>
      </c>
      <c r="T17" s="117">
        <f t="shared" si="4"/>
        <v>0</v>
      </c>
      <c r="U17" s="117">
        <f t="shared" si="5"/>
        <v>0</v>
      </c>
      <c r="V17" s="117">
        <f t="shared" si="6"/>
        <v>0</v>
      </c>
      <c r="W17" s="117">
        <f t="shared" si="7"/>
        <v>0</v>
      </c>
      <c r="X17" s="70"/>
      <c r="Y17" s="138" t="e">
        <f>IF($O17="Généraliste ",VLOOKUP($M17,Tableau17[[Licence]:[Points]],9,FALSE),IF($O17="Technique ",VLOOKUP($M17,Tableau17[[Licence]:[Points]],9,FALSE),IF($O17="Spécial ",VLOOKUP($M17,Tableau17[[Licence]:[Points]],9,FALSE),0)))</f>
        <v>#N/A</v>
      </c>
      <c r="Z17" s="49" t="e">
        <f>IF($O17="Généraliste ",VLOOKUP($M17,Tableau110[[Licence]:[Points]],16,FALSE),IF($O17="Technique ",VLOOKUP($M17,Tableau110[[Licence]:[Points]],16,FALSE),IF($O17="Spécial ",VLOOKUP($M17,Tableau110[[Licence]:[Points]],16,FALSE),0)))</f>
        <v>#N/A</v>
      </c>
      <c r="AA17" s="104">
        <f>IF($O17="Technique ",VLOOKUP($M17,Tableau1711[[Licence]:[Points]],9,FALSE),0)</f>
        <v>0</v>
      </c>
      <c r="AB17" s="104">
        <f>IF($O17="Technique ",VLOOKUP($M17,Tableau11012[[Licence]:[Points]],16,FALSE),0)</f>
        <v>0</v>
      </c>
      <c r="AC17" s="104" t="e">
        <f>VLOOKUP($M17,Tableau16[[Licence]:[Points]],9,FALSE)</f>
        <v>#N/A</v>
      </c>
      <c r="AD17" s="104" t="e">
        <f>VLOOKUP($M17,Tableau1613[[Licence]:[Points]],9,FALSE)</f>
        <v>#N/A</v>
      </c>
      <c r="AE17" s="104" t="e">
        <f>VLOOKUP($M17,Tableau189[[Licence]:[Points]],12,FALSE)</f>
        <v>#N/A</v>
      </c>
      <c r="AF17" s="104" t="e">
        <f>VLOOKUP($M17,Tableau18914[[Licence]:[Points]],12,FALSE)</f>
        <v>#N/A</v>
      </c>
    </row>
    <row r="18" spans="1:32" ht="15.75" thickBot="1">
      <c r="A18" s="13"/>
      <c r="B18" s="14"/>
      <c r="C18" s="14"/>
      <c r="D18" s="15" t="s">
        <v>52</v>
      </c>
      <c r="E18" s="14"/>
      <c r="F18" s="14"/>
      <c r="G18" s="14"/>
      <c r="H18" s="14"/>
      <c r="I18" s="104"/>
      <c r="J18" s="30"/>
      <c r="K18" s="60"/>
      <c r="L18" s="46"/>
      <c r="M18" s="70"/>
      <c r="N18" s="67" t="s">
        <v>54</v>
      </c>
      <c r="O18" s="47" t="s">
        <v>91</v>
      </c>
      <c r="P18" s="144" t="str">
        <f t="shared" si="0"/>
        <v>1 Saut + 1 Lancer + 1 Course</v>
      </c>
      <c r="Q18" s="116">
        <f t="shared" si="1"/>
        <v>0</v>
      </c>
      <c r="R18" s="116">
        <f t="shared" si="2"/>
        <v>0</v>
      </c>
      <c r="S18" s="116">
        <f t="shared" si="3"/>
        <v>0</v>
      </c>
      <c r="T18" s="117">
        <f t="shared" si="4"/>
        <v>0</v>
      </c>
      <c r="U18" s="117">
        <f t="shared" si="5"/>
        <v>0</v>
      </c>
      <c r="V18" s="117">
        <f t="shared" si="6"/>
        <v>0</v>
      </c>
      <c r="W18" s="117">
        <f t="shared" si="7"/>
        <v>0</v>
      </c>
      <c r="X18" s="70"/>
      <c r="Y18" s="138" t="e">
        <f>IF($O18="Généraliste ",VLOOKUP($M18,Tableau17[[Licence]:[Points]],9,FALSE),IF($O18="Technique ",VLOOKUP($M18,Tableau17[[Licence]:[Points]],9,FALSE),IF($O18="Spécial ",VLOOKUP($M18,Tableau17[[Licence]:[Points]],9,FALSE),0)))</f>
        <v>#N/A</v>
      </c>
      <c r="Z18" s="49" t="e">
        <f>IF($O18="Généraliste ",VLOOKUP($M18,Tableau110[[Licence]:[Points]],16,FALSE),IF($O18="Technique ",VLOOKUP($M18,Tableau110[[Licence]:[Points]],16,FALSE),IF($O18="Spécial ",VLOOKUP($M18,Tableau110[[Licence]:[Points]],16,FALSE),0)))</f>
        <v>#N/A</v>
      </c>
      <c r="AA18" s="104">
        <f>IF($O18="Technique ",VLOOKUP($M18,Tableau1711[[Licence]:[Points]],9,FALSE),0)</f>
        <v>0</v>
      </c>
      <c r="AB18" s="104">
        <f>IF($O18="Technique ",VLOOKUP($M18,Tableau11012[[Licence]:[Points]],16,FALSE),0)</f>
        <v>0</v>
      </c>
      <c r="AC18" s="104" t="e">
        <f>VLOOKUP($M18,Tableau16[[Licence]:[Points]],9,FALSE)</f>
        <v>#N/A</v>
      </c>
      <c r="AD18" s="104" t="e">
        <f>VLOOKUP($M18,Tableau1613[[Licence]:[Points]],9,FALSE)</f>
        <v>#N/A</v>
      </c>
      <c r="AE18" s="104" t="e">
        <f>VLOOKUP($M18,Tableau189[[Licence]:[Points]],12,FALSE)</f>
        <v>#N/A</v>
      </c>
      <c r="AF18" s="104" t="e">
        <f>VLOOKUP($M18,Tableau18914[[Licence]:[Points]],12,FALSE)</f>
        <v>#N/A</v>
      </c>
    </row>
    <row r="19" spans="1:32" ht="15.75" thickBot="1">
      <c r="A19" s="13"/>
      <c r="B19" s="14"/>
      <c r="C19" s="14"/>
      <c r="D19" s="15" t="s">
        <v>52</v>
      </c>
      <c r="E19" s="14"/>
      <c r="F19" s="14"/>
      <c r="G19" s="14"/>
      <c r="H19" s="14"/>
      <c r="I19" s="104"/>
      <c r="J19" s="30"/>
      <c r="K19" s="60"/>
      <c r="L19" s="46"/>
      <c r="M19" s="70"/>
      <c r="N19" s="67" t="s">
        <v>54</v>
      </c>
      <c r="O19" s="47" t="s">
        <v>91</v>
      </c>
      <c r="P19" s="144" t="str">
        <f t="shared" si="0"/>
        <v>1 Saut + 1 Lancer + 1 Course</v>
      </c>
      <c r="Q19" s="116">
        <f t="shared" si="1"/>
        <v>0</v>
      </c>
      <c r="R19" s="116">
        <f t="shared" si="2"/>
        <v>0</v>
      </c>
      <c r="S19" s="116">
        <f t="shared" si="3"/>
        <v>0</v>
      </c>
      <c r="T19" s="117">
        <f t="shared" si="4"/>
        <v>0</v>
      </c>
      <c r="U19" s="117">
        <f t="shared" si="5"/>
        <v>0</v>
      </c>
      <c r="V19" s="117">
        <f t="shared" si="6"/>
        <v>0</v>
      </c>
      <c r="W19" s="117">
        <f t="shared" si="7"/>
        <v>0</v>
      </c>
      <c r="X19" s="70"/>
      <c r="Y19" s="138" t="e">
        <f>IF($O19="Généraliste ",VLOOKUP($M19,Tableau17[[Licence]:[Points]],9,FALSE),IF($O19="Technique ",VLOOKUP($M19,Tableau17[[Licence]:[Points]],9,FALSE),IF($O19="Spécial ",VLOOKUP($M19,Tableau17[[Licence]:[Points]],9,FALSE),0)))</f>
        <v>#N/A</v>
      </c>
      <c r="Z19" s="49" t="e">
        <f>IF($O19="Généraliste ",VLOOKUP($M19,Tableau110[[Licence]:[Points]],16,FALSE),IF($O19="Technique ",VLOOKUP($M19,Tableau110[[Licence]:[Points]],16,FALSE),IF($O19="Spécial ",VLOOKUP($M19,Tableau110[[Licence]:[Points]],16,FALSE),0)))</f>
        <v>#N/A</v>
      </c>
      <c r="AA19" s="104">
        <f>IF($O19="Technique ",VLOOKUP($M19,Tableau1711[[Licence]:[Points]],9,FALSE),0)</f>
        <v>0</v>
      </c>
      <c r="AB19" s="104">
        <f>IF($O19="Technique ",VLOOKUP($M19,Tableau11012[[Licence]:[Points]],16,FALSE),0)</f>
        <v>0</v>
      </c>
      <c r="AC19" s="104" t="e">
        <f>VLOOKUP($M19,Tableau16[[Licence]:[Points]],9,FALSE)</f>
        <v>#N/A</v>
      </c>
      <c r="AD19" s="104" t="e">
        <f>VLOOKUP($M19,Tableau1613[[Licence]:[Points]],9,FALSE)</f>
        <v>#N/A</v>
      </c>
      <c r="AE19" s="104" t="e">
        <f>VLOOKUP($M19,Tableau189[[Licence]:[Points]],12,FALSE)</f>
        <v>#N/A</v>
      </c>
      <c r="AF19" s="104" t="e">
        <f>VLOOKUP($M19,Tableau18914[[Licence]:[Points]],12,FALSE)</f>
        <v>#N/A</v>
      </c>
    </row>
    <row r="20" spans="1:32" ht="15.75" thickBot="1">
      <c r="A20" s="13"/>
      <c r="B20" s="14"/>
      <c r="C20" s="14"/>
      <c r="D20" s="15" t="s">
        <v>52</v>
      </c>
      <c r="E20" s="14"/>
      <c r="F20" s="14"/>
      <c r="G20" s="14"/>
      <c r="H20" s="14"/>
      <c r="I20" s="104"/>
      <c r="J20" s="30"/>
      <c r="K20" s="60"/>
      <c r="L20" s="46"/>
      <c r="M20" s="70"/>
      <c r="N20" s="67" t="s">
        <v>54</v>
      </c>
      <c r="O20" s="47" t="s">
        <v>91</v>
      </c>
      <c r="P20" s="144" t="str">
        <f t="shared" si="0"/>
        <v>1 Saut + 1 Lancer + 1 Course</v>
      </c>
      <c r="Q20" s="116">
        <f t="shared" si="1"/>
        <v>0</v>
      </c>
      <c r="R20" s="116">
        <f t="shared" si="2"/>
        <v>0</v>
      </c>
      <c r="S20" s="116">
        <f t="shared" si="3"/>
        <v>0</v>
      </c>
      <c r="T20" s="117">
        <f t="shared" si="4"/>
        <v>0</v>
      </c>
      <c r="U20" s="117">
        <f t="shared" si="5"/>
        <v>0</v>
      </c>
      <c r="V20" s="117">
        <f t="shared" si="6"/>
        <v>0</v>
      </c>
      <c r="W20" s="117">
        <f t="shared" si="7"/>
        <v>0</v>
      </c>
      <c r="X20" s="70"/>
      <c r="Y20" s="138" t="e">
        <f>IF($O20="Généraliste ",VLOOKUP($M20,Tableau17[[Licence]:[Points]],9,FALSE),IF($O20="Technique ",VLOOKUP($M20,Tableau17[[Licence]:[Points]],9,FALSE),IF($O20="Spécial ",VLOOKUP($M20,Tableau17[[Licence]:[Points]],9,FALSE),0)))</f>
        <v>#N/A</v>
      </c>
      <c r="Z20" s="49" t="e">
        <f>IF($O20="Généraliste ",VLOOKUP($M20,Tableau110[[Licence]:[Points]],16,FALSE),IF($O20="Technique ",VLOOKUP($M20,Tableau110[[Licence]:[Points]],16,FALSE),IF($O20="Spécial ",VLOOKUP($M20,Tableau110[[Licence]:[Points]],16,FALSE),0)))</f>
        <v>#N/A</v>
      </c>
      <c r="AA20" s="104">
        <f>IF($O20="Technique ",VLOOKUP($M20,Tableau1711[[Licence]:[Points]],9,FALSE),0)</f>
        <v>0</v>
      </c>
      <c r="AB20" s="104">
        <f>IF($O20="Technique ",VLOOKUP($M20,Tableau11012[[Licence]:[Points]],16,FALSE),0)</f>
        <v>0</v>
      </c>
      <c r="AC20" s="104" t="e">
        <f>VLOOKUP($M20,Tableau16[[Licence]:[Points]],9,FALSE)</f>
        <v>#N/A</v>
      </c>
      <c r="AD20" s="104" t="e">
        <f>VLOOKUP($M20,Tableau1613[[Licence]:[Points]],9,FALSE)</f>
        <v>#N/A</v>
      </c>
      <c r="AE20" s="104" t="e">
        <f>VLOOKUP($M20,Tableau189[[Licence]:[Points]],12,FALSE)</f>
        <v>#N/A</v>
      </c>
      <c r="AF20" s="104" t="e">
        <f>VLOOKUP($M20,Tableau18914[[Licence]:[Points]],12,FALSE)</f>
        <v>#N/A</v>
      </c>
    </row>
    <row r="21" spans="1:32" ht="15.75" thickBot="1">
      <c r="A21" s="13"/>
      <c r="B21" s="14"/>
      <c r="C21" s="14"/>
      <c r="D21" s="15" t="s">
        <v>52</v>
      </c>
      <c r="E21" s="14"/>
      <c r="F21" s="14"/>
      <c r="G21" s="14"/>
      <c r="H21" s="14"/>
      <c r="I21" s="104"/>
      <c r="J21" s="30"/>
      <c r="K21" s="60"/>
      <c r="L21" s="46"/>
      <c r="M21" s="70"/>
      <c r="N21" s="67" t="s">
        <v>54</v>
      </c>
      <c r="O21" s="47" t="s">
        <v>91</v>
      </c>
      <c r="P21" s="144" t="str">
        <f t="shared" si="0"/>
        <v>1 Saut + 1 Lancer + 1 Course</v>
      </c>
      <c r="Q21" s="116">
        <f t="shared" si="1"/>
        <v>0</v>
      </c>
      <c r="R21" s="116">
        <f t="shared" si="2"/>
        <v>0</v>
      </c>
      <c r="S21" s="116">
        <f t="shared" si="3"/>
        <v>0</v>
      </c>
      <c r="T21" s="117">
        <f t="shared" si="4"/>
        <v>0</v>
      </c>
      <c r="U21" s="117">
        <f t="shared" si="5"/>
        <v>0</v>
      </c>
      <c r="V21" s="117">
        <f t="shared" si="6"/>
        <v>0</v>
      </c>
      <c r="W21" s="117">
        <f t="shared" si="7"/>
        <v>0</v>
      </c>
      <c r="X21" s="70"/>
      <c r="Y21" s="138" t="e">
        <f>IF($O21="Généraliste ",VLOOKUP($M21,Tableau17[[Licence]:[Points]],9,FALSE),IF($O21="Technique ",VLOOKUP($M21,Tableau17[[Licence]:[Points]],9,FALSE),IF($O21="Spécial ",VLOOKUP($M21,Tableau17[[Licence]:[Points]],9,FALSE),0)))</f>
        <v>#N/A</v>
      </c>
      <c r="Z21" s="49" t="e">
        <f>IF($O21="Généraliste ",VLOOKUP($M21,Tableau110[[Licence]:[Points]],16,FALSE),IF($O21="Technique ",VLOOKUP($M21,Tableau110[[Licence]:[Points]],16,FALSE),IF($O21="Spécial ",VLOOKUP($M21,Tableau110[[Licence]:[Points]],16,FALSE),0)))</f>
        <v>#N/A</v>
      </c>
      <c r="AA21" s="104">
        <f>IF($O21="Technique ",VLOOKUP($M21,Tableau1711[[Licence]:[Points]],9,FALSE),0)</f>
        <v>0</v>
      </c>
      <c r="AB21" s="104">
        <f>IF($O21="Technique ",VLOOKUP($M21,Tableau11012[[Licence]:[Points]],16,FALSE),0)</f>
        <v>0</v>
      </c>
      <c r="AC21" s="104" t="e">
        <f>VLOOKUP($M21,Tableau16[[Licence]:[Points]],9,FALSE)</f>
        <v>#N/A</v>
      </c>
      <c r="AD21" s="104" t="e">
        <f>VLOOKUP($M21,Tableau1613[[Licence]:[Points]],9,FALSE)</f>
        <v>#N/A</v>
      </c>
      <c r="AE21" s="104" t="e">
        <f>VLOOKUP($M21,Tableau189[[Licence]:[Points]],12,FALSE)</f>
        <v>#N/A</v>
      </c>
      <c r="AF21" s="104" t="e">
        <f>VLOOKUP($M21,Tableau18914[[Licence]:[Points]],12,FALSE)</f>
        <v>#N/A</v>
      </c>
    </row>
    <row r="22" spans="1:32" ht="15.75" thickBot="1">
      <c r="A22" s="13"/>
      <c r="B22" s="14"/>
      <c r="C22" s="14"/>
      <c r="D22" s="15" t="s">
        <v>52</v>
      </c>
      <c r="E22" s="14"/>
      <c r="F22" s="14"/>
      <c r="G22" s="14"/>
      <c r="H22" s="14"/>
      <c r="I22" s="104"/>
      <c r="J22" s="30"/>
      <c r="K22" s="60"/>
      <c r="L22" s="46"/>
      <c r="M22" s="70"/>
      <c r="N22" s="67" t="s">
        <v>54</v>
      </c>
      <c r="O22" s="47" t="s">
        <v>91</v>
      </c>
      <c r="P22" s="144" t="str">
        <f t="shared" si="0"/>
        <v>1 Saut + 1 Lancer + 1 Course</v>
      </c>
      <c r="Q22" s="116">
        <f t="shared" si="1"/>
        <v>0</v>
      </c>
      <c r="R22" s="116">
        <f t="shared" si="2"/>
        <v>0</v>
      </c>
      <c r="S22" s="116">
        <f t="shared" si="3"/>
        <v>0</v>
      </c>
      <c r="T22" s="117">
        <f t="shared" si="4"/>
        <v>0</v>
      </c>
      <c r="U22" s="117">
        <f t="shared" si="5"/>
        <v>0</v>
      </c>
      <c r="V22" s="117">
        <f t="shared" si="6"/>
        <v>0</v>
      </c>
      <c r="W22" s="117">
        <f t="shared" si="7"/>
        <v>0</v>
      </c>
      <c r="X22" s="70"/>
      <c r="Y22" s="138" t="e">
        <f>IF($O22="Généraliste ",VLOOKUP($M22,Tableau17[[Licence]:[Points]],9,FALSE),IF($O22="Technique ",VLOOKUP($M22,Tableau17[[Licence]:[Points]],9,FALSE),IF($O22="Spécial ",VLOOKUP($M22,Tableau17[[Licence]:[Points]],9,FALSE),0)))</f>
        <v>#N/A</v>
      </c>
      <c r="Z22" s="49" t="e">
        <f>IF($O22="Généraliste ",VLOOKUP($M22,Tableau110[[Licence]:[Points]],16,FALSE),IF($O22="Technique ",VLOOKUP($M22,Tableau110[[Licence]:[Points]],16,FALSE),IF($O22="Spécial ",VLOOKUP($M22,Tableau110[[Licence]:[Points]],16,FALSE),0)))</f>
        <v>#N/A</v>
      </c>
      <c r="AA22" s="104">
        <f>IF($O22="Technique ",VLOOKUP($M22,Tableau1711[[Licence]:[Points]],9,FALSE),0)</f>
        <v>0</v>
      </c>
      <c r="AB22" s="104">
        <f>IF($O22="Technique ",VLOOKUP($M22,Tableau11012[[Licence]:[Points]],16,FALSE),0)</f>
        <v>0</v>
      </c>
      <c r="AC22" s="104" t="e">
        <f>VLOOKUP($M22,Tableau16[[Licence]:[Points]],9,FALSE)</f>
        <v>#N/A</v>
      </c>
      <c r="AD22" s="104" t="e">
        <f>VLOOKUP($M22,Tableau1613[[Licence]:[Points]],9,FALSE)</f>
        <v>#N/A</v>
      </c>
      <c r="AE22" s="104" t="e">
        <f>VLOOKUP($M22,Tableau189[[Licence]:[Points]],12,FALSE)</f>
        <v>#N/A</v>
      </c>
      <c r="AF22" s="104" t="e">
        <f>VLOOKUP($M22,Tableau18914[[Licence]:[Points]],12,FALSE)</f>
        <v>#N/A</v>
      </c>
    </row>
    <row r="23" spans="1:32" ht="15.75" thickBot="1">
      <c r="A23" s="13"/>
      <c r="B23" s="14"/>
      <c r="C23" s="14"/>
      <c r="D23" s="15" t="s">
        <v>52</v>
      </c>
      <c r="E23" s="14"/>
      <c r="F23" s="14"/>
      <c r="G23" s="14"/>
      <c r="H23" s="14"/>
      <c r="I23" s="104"/>
      <c r="J23" s="30"/>
      <c r="K23" s="60"/>
      <c r="L23" s="46"/>
      <c r="M23" s="70"/>
      <c r="N23" s="67" t="s">
        <v>54</v>
      </c>
      <c r="O23" s="47" t="s">
        <v>91</v>
      </c>
      <c r="P23" s="144" t="str">
        <f t="shared" si="0"/>
        <v>1 Saut + 1 Lancer + 1 Course</v>
      </c>
      <c r="Q23" s="116">
        <f t="shared" si="1"/>
        <v>0</v>
      </c>
      <c r="R23" s="116">
        <f t="shared" si="2"/>
        <v>0</v>
      </c>
      <c r="S23" s="116">
        <f t="shared" si="3"/>
        <v>0</v>
      </c>
      <c r="T23" s="117">
        <f t="shared" si="4"/>
        <v>0</v>
      </c>
      <c r="U23" s="117">
        <f t="shared" si="5"/>
        <v>0</v>
      </c>
      <c r="V23" s="117">
        <f t="shared" si="6"/>
        <v>0</v>
      </c>
      <c r="W23" s="117">
        <f t="shared" si="7"/>
        <v>0</v>
      </c>
      <c r="X23" s="70"/>
      <c r="Y23" s="138" t="e">
        <f>IF($O23="Généraliste ",VLOOKUP($M23,Tableau17[[Licence]:[Points]],9,FALSE),IF($O23="Technique ",VLOOKUP($M23,Tableau17[[Licence]:[Points]],9,FALSE),IF($O23="Spécial ",VLOOKUP($M23,Tableau17[[Licence]:[Points]],9,FALSE),0)))</f>
        <v>#N/A</v>
      </c>
      <c r="Z23" s="49" t="e">
        <f>IF($O23="Généraliste ",VLOOKUP($M23,Tableau110[[Licence]:[Points]],16,FALSE),IF($O23="Technique ",VLOOKUP($M23,Tableau110[[Licence]:[Points]],16,FALSE),IF($O23="Spécial ",VLOOKUP($M23,Tableau110[[Licence]:[Points]],16,FALSE),0)))</f>
        <v>#N/A</v>
      </c>
      <c r="AA23" s="104">
        <f>IF($O23="Technique ",VLOOKUP($M23,Tableau1711[[Licence]:[Points]],9,FALSE),0)</f>
        <v>0</v>
      </c>
      <c r="AB23" s="104">
        <f>IF($O23="Technique ",VLOOKUP($M23,Tableau11012[[Licence]:[Points]],16,FALSE),0)</f>
        <v>0</v>
      </c>
      <c r="AC23" s="104" t="e">
        <f>VLOOKUP($M23,Tableau16[[Licence]:[Points]],9,FALSE)</f>
        <v>#N/A</v>
      </c>
      <c r="AD23" s="104" t="e">
        <f>VLOOKUP($M23,Tableau1613[[Licence]:[Points]],9,FALSE)</f>
        <v>#N/A</v>
      </c>
      <c r="AE23" s="104" t="e">
        <f>VLOOKUP($M23,Tableau189[[Licence]:[Points]],12,FALSE)</f>
        <v>#N/A</v>
      </c>
      <c r="AF23" s="104" t="e">
        <f>VLOOKUP($M23,Tableau18914[[Licence]:[Points]],12,FALSE)</f>
        <v>#N/A</v>
      </c>
    </row>
    <row r="24" spans="1:32" ht="15.75" thickBot="1">
      <c r="A24" s="13"/>
      <c r="B24" s="14"/>
      <c r="C24" s="14"/>
      <c r="D24" s="15" t="s">
        <v>52</v>
      </c>
      <c r="E24" s="14"/>
      <c r="F24" s="14"/>
      <c r="G24" s="14"/>
      <c r="H24" s="14"/>
      <c r="I24" s="104"/>
      <c r="J24" s="30"/>
      <c r="K24" s="60"/>
      <c r="L24" s="46"/>
      <c r="M24" s="70"/>
      <c r="N24" s="67" t="s">
        <v>54</v>
      </c>
      <c r="O24" s="47" t="s">
        <v>91</v>
      </c>
      <c r="P24" s="144" t="str">
        <f t="shared" si="0"/>
        <v>1 Saut + 1 Lancer + 1 Course</v>
      </c>
      <c r="Q24" s="116">
        <f t="shared" si="1"/>
        <v>0</v>
      </c>
      <c r="R24" s="116">
        <f t="shared" si="2"/>
        <v>0</v>
      </c>
      <c r="S24" s="116">
        <f t="shared" si="3"/>
        <v>0</v>
      </c>
      <c r="T24" s="117">
        <f t="shared" si="4"/>
        <v>0</v>
      </c>
      <c r="U24" s="117">
        <f t="shared" si="5"/>
        <v>0</v>
      </c>
      <c r="V24" s="117">
        <f t="shared" si="6"/>
        <v>0</v>
      </c>
      <c r="W24" s="117">
        <f t="shared" si="7"/>
        <v>0</v>
      </c>
      <c r="X24" s="70"/>
      <c r="Y24" s="138" t="e">
        <f>IF($O24="Généraliste ",VLOOKUP($M24,Tableau17[[Licence]:[Points]],9,FALSE),IF($O24="Technique ",VLOOKUP($M24,Tableau17[[Licence]:[Points]],9,FALSE),IF($O24="Spécial ",VLOOKUP($M24,Tableau17[[Licence]:[Points]],9,FALSE),0)))</f>
        <v>#N/A</v>
      </c>
      <c r="Z24" s="49" t="e">
        <f>IF($O24="Généraliste ",VLOOKUP($M24,Tableau110[[Licence]:[Points]],16,FALSE),IF($O24="Technique ",VLOOKUP($M24,Tableau110[[Licence]:[Points]],16,FALSE),IF($O24="Spécial ",VLOOKUP($M24,Tableau110[[Licence]:[Points]],16,FALSE),0)))</f>
        <v>#N/A</v>
      </c>
      <c r="AA24" s="104">
        <f>IF($O24="Technique ",VLOOKUP($M24,Tableau1711[[Licence]:[Points]],9,FALSE),0)</f>
        <v>0</v>
      </c>
      <c r="AB24" s="104">
        <f>IF($O24="Technique ",VLOOKUP($M24,Tableau11012[[Licence]:[Points]],16,FALSE),0)</f>
        <v>0</v>
      </c>
      <c r="AC24" s="104" t="e">
        <f>VLOOKUP($M24,Tableau16[[Licence]:[Points]],9,FALSE)</f>
        <v>#N/A</v>
      </c>
      <c r="AD24" s="104" t="e">
        <f>VLOOKUP($M24,Tableau1613[[Licence]:[Points]],9,FALSE)</f>
        <v>#N/A</v>
      </c>
      <c r="AE24" s="104" t="e">
        <f>VLOOKUP($M24,Tableau189[[Licence]:[Points]],12,FALSE)</f>
        <v>#N/A</v>
      </c>
      <c r="AF24" s="104" t="e">
        <f>VLOOKUP($M24,Tableau18914[[Licence]:[Points]],12,FALSE)</f>
        <v>#N/A</v>
      </c>
    </row>
    <row r="25" spans="1:32" ht="15.75" thickBot="1">
      <c r="A25" s="13"/>
      <c r="B25" s="14"/>
      <c r="C25" s="14"/>
      <c r="D25" s="15" t="s">
        <v>52</v>
      </c>
      <c r="E25" s="14"/>
      <c r="F25" s="14"/>
      <c r="G25" s="14"/>
      <c r="H25" s="14"/>
      <c r="I25" s="104"/>
      <c r="J25" s="30"/>
      <c r="K25" s="60"/>
      <c r="L25" s="46"/>
      <c r="M25" s="70"/>
      <c r="N25" s="67" t="s">
        <v>54</v>
      </c>
      <c r="O25" s="47" t="s">
        <v>91</v>
      </c>
      <c r="P25" s="144" t="str">
        <f t="shared" si="0"/>
        <v>1 Saut + 1 Lancer + 1 Course</v>
      </c>
      <c r="Q25" s="116">
        <f t="shared" si="1"/>
        <v>0</v>
      </c>
      <c r="R25" s="116">
        <f t="shared" si="2"/>
        <v>0</v>
      </c>
      <c r="S25" s="116">
        <f t="shared" si="3"/>
        <v>0</v>
      </c>
      <c r="T25" s="117">
        <f t="shared" si="4"/>
        <v>0</v>
      </c>
      <c r="U25" s="117">
        <f t="shared" si="5"/>
        <v>0</v>
      </c>
      <c r="V25" s="117">
        <f t="shared" si="6"/>
        <v>0</v>
      </c>
      <c r="W25" s="117">
        <f t="shared" si="7"/>
        <v>0</v>
      </c>
      <c r="X25" s="70"/>
      <c r="Y25" s="138" t="e">
        <f>IF($O25="Généraliste ",VLOOKUP($M25,Tableau17[[Licence]:[Points]],9,FALSE),IF($O25="Technique ",VLOOKUP($M25,Tableau17[[Licence]:[Points]],9,FALSE),IF($O25="Spécial ",VLOOKUP($M25,Tableau17[[Licence]:[Points]],9,FALSE),0)))</f>
        <v>#N/A</v>
      </c>
      <c r="Z25" s="49" t="e">
        <f>IF($O25="Généraliste ",VLOOKUP($M25,Tableau110[[Licence]:[Points]],16,FALSE),IF($O25="Technique ",VLOOKUP($M25,Tableau110[[Licence]:[Points]],16,FALSE),IF($O25="Spécial ",VLOOKUP($M25,Tableau110[[Licence]:[Points]],16,FALSE),0)))</f>
        <v>#N/A</v>
      </c>
      <c r="AA25" s="104">
        <f>IF($O25="Technique ",VLOOKUP($M25,Tableau1711[[Licence]:[Points]],9,FALSE),0)</f>
        <v>0</v>
      </c>
      <c r="AB25" s="104">
        <f>IF($O25="Technique ",VLOOKUP($M25,Tableau11012[[Licence]:[Points]],16,FALSE),0)</f>
        <v>0</v>
      </c>
      <c r="AC25" s="104" t="e">
        <f>VLOOKUP($M25,Tableau16[[Licence]:[Points]],9,FALSE)</f>
        <v>#N/A</v>
      </c>
      <c r="AD25" s="104" t="e">
        <f>VLOOKUP($M25,Tableau1613[[Licence]:[Points]],9,FALSE)</f>
        <v>#N/A</v>
      </c>
      <c r="AE25" s="104" t="e">
        <f>VLOOKUP($M25,Tableau189[[Licence]:[Points]],12,FALSE)</f>
        <v>#N/A</v>
      </c>
      <c r="AF25" s="104" t="e">
        <f>VLOOKUP($M25,Tableau18914[[Licence]:[Points]],12,FALSE)</f>
        <v>#N/A</v>
      </c>
    </row>
    <row r="26" spans="1:32" ht="15.75" thickBot="1">
      <c r="A26" s="13"/>
      <c r="B26" s="14"/>
      <c r="C26" s="14"/>
      <c r="D26" s="15" t="s">
        <v>52</v>
      </c>
      <c r="E26" s="14"/>
      <c r="F26" s="14"/>
      <c r="G26" s="14"/>
      <c r="H26" s="14"/>
      <c r="I26" s="104"/>
      <c r="J26" s="30"/>
      <c r="K26" s="60"/>
      <c r="L26" s="46"/>
      <c r="M26" s="70"/>
      <c r="N26" s="67" t="s">
        <v>54</v>
      </c>
      <c r="O26" s="47" t="s">
        <v>91</v>
      </c>
      <c r="P26" s="144" t="str">
        <f t="shared" si="0"/>
        <v>1 Saut + 1 Lancer + 1 Course</v>
      </c>
      <c r="Q26" s="116">
        <f t="shared" si="1"/>
        <v>0</v>
      </c>
      <c r="R26" s="116">
        <f t="shared" si="2"/>
        <v>0</v>
      </c>
      <c r="S26" s="116">
        <f t="shared" si="3"/>
        <v>0</v>
      </c>
      <c r="T26" s="117">
        <f t="shared" si="4"/>
        <v>0</v>
      </c>
      <c r="U26" s="117">
        <f t="shared" si="5"/>
        <v>0</v>
      </c>
      <c r="V26" s="117">
        <f t="shared" si="6"/>
        <v>0</v>
      </c>
      <c r="W26" s="117">
        <f t="shared" si="7"/>
        <v>0</v>
      </c>
      <c r="X26" s="70"/>
      <c r="Y26" s="138" t="e">
        <f>IF($O26="Généraliste ",VLOOKUP($M26,Tableau17[[Licence]:[Points]],9,FALSE),IF($O26="Technique ",VLOOKUP($M26,Tableau17[[Licence]:[Points]],9,FALSE),IF($O26="Spécial ",VLOOKUP($M26,Tableau17[[Licence]:[Points]],9,FALSE),0)))</f>
        <v>#N/A</v>
      </c>
      <c r="Z26" s="49" t="e">
        <f>IF($O26="Généraliste ",VLOOKUP($M26,Tableau110[[Licence]:[Points]],16,FALSE),IF($O26="Technique ",VLOOKUP($M26,Tableau110[[Licence]:[Points]],16,FALSE),IF($O26="Spécial ",VLOOKUP($M26,Tableau110[[Licence]:[Points]],16,FALSE),0)))</f>
        <v>#N/A</v>
      </c>
      <c r="AA26" s="104">
        <f>IF($O26="Technique ",VLOOKUP($M26,Tableau1711[[Licence]:[Points]],9,FALSE),0)</f>
        <v>0</v>
      </c>
      <c r="AB26" s="104">
        <f>IF($O26="Technique ",VLOOKUP($M26,Tableau11012[[Licence]:[Points]],16,FALSE),0)</f>
        <v>0</v>
      </c>
      <c r="AC26" s="104" t="e">
        <f>VLOOKUP($M26,Tableau16[[Licence]:[Points]],9,FALSE)</f>
        <v>#N/A</v>
      </c>
      <c r="AD26" s="104" t="e">
        <f>VLOOKUP($M26,Tableau1613[[Licence]:[Points]],9,FALSE)</f>
        <v>#N/A</v>
      </c>
      <c r="AE26" s="104" t="e">
        <f>VLOOKUP($M26,Tableau189[[Licence]:[Points]],12,FALSE)</f>
        <v>#N/A</v>
      </c>
      <c r="AF26" s="104" t="e">
        <f>VLOOKUP($M26,Tableau18914[[Licence]:[Points]],12,FALSE)</f>
        <v>#N/A</v>
      </c>
    </row>
    <row r="27" spans="1:32" ht="15.75" thickBot="1">
      <c r="A27" s="13"/>
      <c r="B27" s="14"/>
      <c r="C27" s="14"/>
      <c r="D27" s="15" t="s">
        <v>52</v>
      </c>
      <c r="E27" s="14"/>
      <c r="F27" s="14"/>
      <c r="G27" s="14"/>
      <c r="H27" s="14"/>
      <c r="I27" s="104"/>
      <c r="J27" s="30"/>
      <c r="K27" s="60"/>
      <c r="L27" s="46"/>
      <c r="M27" s="70"/>
      <c r="N27" s="67" t="s">
        <v>54</v>
      </c>
      <c r="O27" s="47" t="s">
        <v>91</v>
      </c>
      <c r="P27" s="144" t="str">
        <f t="shared" si="0"/>
        <v>1 Saut + 1 Lancer + 1 Course</v>
      </c>
      <c r="Q27" s="116">
        <f t="shared" si="1"/>
        <v>0</v>
      </c>
      <c r="R27" s="116">
        <f t="shared" si="2"/>
        <v>0</v>
      </c>
      <c r="S27" s="116">
        <f t="shared" si="3"/>
        <v>0</v>
      </c>
      <c r="T27" s="117">
        <f t="shared" si="4"/>
        <v>0</v>
      </c>
      <c r="U27" s="117">
        <f t="shared" si="5"/>
        <v>0</v>
      </c>
      <c r="V27" s="117">
        <f t="shared" si="6"/>
        <v>0</v>
      </c>
      <c r="W27" s="117">
        <f t="shared" si="7"/>
        <v>0</v>
      </c>
      <c r="X27" s="70"/>
      <c r="Y27" s="138" t="e">
        <f>IF($O27="Généraliste ",VLOOKUP($M27,Tableau17[[Licence]:[Points]],9,FALSE),IF($O27="Technique ",VLOOKUP($M27,Tableau17[[Licence]:[Points]],9,FALSE),IF($O27="Spécial ",VLOOKUP($M27,Tableau17[[Licence]:[Points]],9,FALSE),0)))</f>
        <v>#N/A</v>
      </c>
      <c r="Z27" s="49" t="e">
        <f>IF($O27="Généraliste ",VLOOKUP($M27,Tableau110[[Licence]:[Points]],16,FALSE),IF($O27="Technique ",VLOOKUP($M27,Tableau110[[Licence]:[Points]],16,FALSE),IF($O27="Spécial ",VLOOKUP($M27,Tableau110[[Licence]:[Points]],16,FALSE),0)))</f>
        <v>#N/A</v>
      </c>
      <c r="AA27" s="104">
        <f>IF($O27="Technique ",VLOOKUP($M27,Tableau1711[[Licence]:[Points]],9,FALSE),0)</f>
        <v>0</v>
      </c>
      <c r="AB27" s="104">
        <f>IF($O27="Technique ",VLOOKUP($M27,Tableau11012[[Licence]:[Points]],16,FALSE),0)</f>
        <v>0</v>
      </c>
      <c r="AC27" s="104" t="e">
        <f>VLOOKUP($M27,Tableau16[[Licence]:[Points]],9,FALSE)</f>
        <v>#N/A</v>
      </c>
      <c r="AD27" s="104" t="e">
        <f>VLOOKUP($M27,Tableau1613[[Licence]:[Points]],9,FALSE)</f>
        <v>#N/A</v>
      </c>
      <c r="AE27" s="104" t="e">
        <f>VLOOKUP($M27,Tableau189[[Licence]:[Points]],12,FALSE)</f>
        <v>#N/A</v>
      </c>
      <c r="AF27" s="104" t="e">
        <f>VLOOKUP($M27,Tableau18914[[Licence]:[Points]],12,FALSE)</f>
        <v>#N/A</v>
      </c>
    </row>
    <row r="28" spans="1:32" ht="15.75" thickBot="1">
      <c r="A28" s="13"/>
      <c r="B28" s="14"/>
      <c r="C28" s="14"/>
      <c r="D28" s="15" t="s">
        <v>52</v>
      </c>
      <c r="E28" s="14"/>
      <c r="F28" s="14"/>
      <c r="G28" s="14"/>
      <c r="H28" s="14"/>
      <c r="I28" s="104"/>
      <c r="J28" s="30"/>
      <c r="K28" s="60"/>
      <c r="L28" s="46"/>
      <c r="M28" s="70"/>
      <c r="N28" s="67" t="s">
        <v>54</v>
      </c>
      <c r="O28" s="47" t="s">
        <v>91</v>
      </c>
      <c r="P28" s="144" t="str">
        <f t="shared" si="0"/>
        <v>1 Saut + 1 Lancer + 1 Course</v>
      </c>
      <c r="Q28" s="116">
        <f t="shared" si="1"/>
        <v>0</v>
      </c>
      <c r="R28" s="116">
        <f t="shared" si="2"/>
        <v>0</v>
      </c>
      <c r="S28" s="116">
        <f t="shared" si="3"/>
        <v>0</v>
      </c>
      <c r="T28" s="117">
        <f t="shared" si="4"/>
        <v>0</v>
      </c>
      <c r="U28" s="117">
        <f t="shared" si="5"/>
        <v>0</v>
      </c>
      <c r="V28" s="117">
        <f t="shared" si="6"/>
        <v>0</v>
      </c>
      <c r="W28" s="117">
        <f t="shared" si="7"/>
        <v>0</v>
      </c>
      <c r="X28" s="70"/>
      <c r="Y28" s="138" t="e">
        <f>IF($O28="Généraliste ",VLOOKUP($M28,Tableau17[[Licence]:[Points]],9,FALSE),IF($O28="Technique ",VLOOKUP($M28,Tableau17[[Licence]:[Points]],9,FALSE),IF($O28="Spécial ",VLOOKUP($M28,Tableau17[[Licence]:[Points]],9,FALSE),0)))</f>
        <v>#N/A</v>
      </c>
      <c r="Z28" s="49" t="e">
        <f>IF($O28="Généraliste ",VLOOKUP($M28,Tableau110[[Licence]:[Points]],16,FALSE),IF($O28="Technique ",VLOOKUP($M28,Tableau110[[Licence]:[Points]],16,FALSE),IF($O28="Spécial ",VLOOKUP($M28,Tableau110[[Licence]:[Points]],16,FALSE),0)))</f>
        <v>#N/A</v>
      </c>
      <c r="AA28" s="104">
        <f>IF($O28="Technique ",VLOOKUP($M28,Tableau1711[[Licence]:[Points]],9,FALSE),0)</f>
        <v>0</v>
      </c>
      <c r="AB28" s="104">
        <f>IF($O28="Technique ",VLOOKUP($M28,Tableau11012[[Licence]:[Points]],16,FALSE),0)</f>
        <v>0</v>
      </c>
      <c r="AC28" s="104" t="e">
        <f>VLOOKUP($M28,Tableau16[[Licence]:[Points]],9,FALSE)</f>
        <v>#N/A</v>
      </c>
      <c r="AD28" s="104" t="e">
        <f>VLOOKUP($M28,Tableau1613[[Licence]:[Points]],9,FALSE)</f>
        <v>#N/A</v>
      </c>
      <c r="AE28" s="104" t="e">
        <f>VLOOKUP($M28,Tableau189[[Licence]:[Points]],12,FALSE)</f>
        <v>#N/A</v>
      </c>
      <c r="AF28" s="104" t="e">
        <f>VLOOKUP($M28,Tableau18914[[Licence]:[Points]],12,FALSE)</f>
        <v>#N/A</v>
      </c>
    </row>
    <row r="29" spans="1:32" ht="15.75" thickBot="1">
      <c r="A29" s="13"/>
      <c r="B29" s="14"/>
      <c r="C29" s="14"/>
      <c r="D29" s="15" t="s">
        <v>52</v>
      </c>
      <c r="E29" s="14"/>
      <c r="F29" s="14"/>
      <c r="G29" s="14"/>
      <c r="H29" s="14"/>
      <c r="I29" s="104"/>
      <c r="J29" s="30"/>
      <c r="K29" s="60"/>
      <c r="L29" s="46"/>
      <c r="M29" s="70"/>
      <c r="N29" s="67" t="s">
        <v>54</v>
      </c>
      <c r="O29" s="47" t="s">
        <v>91</v>
      </c>
      <c r="P29" s="144" t="str">
        <f t="shared" si="0"/>
        <v>1 Saut + 1 Lancer + 1 Course</v>
      </c>
      <c r="Q29" s="116">
        <f t="shared" si="1"/>
        <v>0</v>
      </c>
      <c r="R29" s="116">
        <f t="shared" si="2"/>
        <v>0</v>
      </c>
      <c r="S29" s="116">
        <f t="shared" si="3"/>
        <v>0</v>
      </c>
      <c r="T29" s="117">
        <f t="shared" si="4"/>
        <v>0</v>
      </c>
      <c r="U29" s="117">
        <f t="shared" si="5"/>
        <v>0</v>
      </c>
      <c r="V29" s="117">
        <f t="shared" si="6"/>
        <v>0</v>
      </c>
      <c r="W29" s="117">
        <f t="shared" si="7"/>
        <v>0</v>
      </c>
      <c r="X29" s="70"/>
      <c r="Y29" s="138" t="e">
        <f>IF($O29="Généraliste ",VLOOKUP($M29,Tableau17[[Licence]:[Points]],9,FALSE),IF($O29="Technique ",VLOOKUP($M29,Tableau17[[Licence]:[Points]],9,FALSE),IF($O29="Spécial ",VLOOKUP($M29,Tableau17[[Licence]:[Points]],9,FALSE),0)))</f>
        <v>#N/A</v>
      </c>
      <c r="Z29" s="49" t="e">
        <f>IF($O29="Généraliste ",VLOOKUP($M29,Tableau110[[Licence]:[Points]],16,FALSE),IF($O29="Technique ",VLOOKUP($M29,Tableau110[[Licence]:[Points]],16,FALSE),IF($O29="Spécial ",VLOOKUP($M29,Tableau110[[Licence]:[Points]],16,FALSE),0)))</f>
        <v>#N/A</v>
      </c>
      <c r="AA29" s="104">
        <f>IF($O29="Technique ",VLOOKUP($M29,Tableau1711[[Licence]:[Points]],9,FALSE),0)</f>
        <v>0</v>
      </c>
      <c r="AB29" s="104">
        <f>IF($O29="Technique ",VLOOKUP($M29,Tableau11012[[Licence]:[Points]],16,FALSE),0)</f>
        <v>0</v>
      </c>
      <c r="AC29" s="104" t="e">
        <f>VLOOKUP($M29,Tableau16[[Licence]:[Points]],9,FALSE)</f>
        <v>#N/A</v>
      </c>
      <c r="AD29" s="104" t="e">
        <f>VLOOKUP($M29,Tableau1613[[Licence]:[Points]],9,FALSE)</f>
        <v>#N/A</v>
      </c>
      <c r="AE29" s="104" t="e">
        <f>VLOOKUP($M29,Tableau189[[Licence]:[Points]],12,FALSE)</f>
        <v>#N/A</v>
      </c>
      <c r="AF29" s="104" t="e">
        <f>VLOOKUP($M29,Tableau18914[[Licence]:[Points]],12,FALSE)</f>
        <v>#N/A</v>
      </c>
    </row>
    <row r="30" spans="1:32" ht="15.75" thickBot="1">
      <c r="A30" s="13"/>
      <c r="B30" s="14"/>
      <c r="C30" s="14"/>
      <c r="D30" s="15" t="s">
        <v>52</v>
      </c>
      <c r="E30" s="14"/>
      <c r="F30" s="14"/>
      <c r="G30" s="14"/>
      <c r="H30" s="14"/>
      <c r="I30" s="104"/>
      <c r="J30" s="30"/>
      <c r="K30" s="60"/>
      <c r="L30" s="46"/>
      <c r="M30" s="70"/>
      <c r="N30" s="67" t="s">
        <v>54</v>
      </c>
      <c r="O30" s="47" t="s">
        <v>91</v>
      </c>
      <c r="P30" s="144" t="str">
        <f t="shared" si="0"/>
        <v>1 Saut + 1 Lancer + 1 Course</v>
      </c>
      <c r="Q30" s="116">
        <f t="shared" si="1"/>
        <v>0</v>
      </c>
      <c r="R30" s="116">
        <f t="shared" si="2"/>
        <v>0</v>
      </c>
      <c r="S30" s="116">
        <f t="shared" si="3"/>
        <v>0</v>
      </c>
      <c r="T30" s="117">
        <f t="shared" si="4"/>
        <v>0</v>
      </c>
      <c r="U30" s="117">
        <f t="shared" si="5"/>
        <v>0</v>
      </c>
      <c r="V30" s="117">
        <f t="shared" si="6"/>
        <v>0</v>
      </c>
      <c r="W30" s="117">
        <f t="shared" si="7"/>
        <v>0</v>
      </c>
      <c r="X30" s="70"/>
      <c r="Y30" s="138" t="e">
        <f>IF($O30="Généraliste ",VLOOKUP($M30,Tableau17[[Licence]:[Points]],9,FALSE),IF($O30="Technique ",VLOOKUP($M30,Tableau17[[Licence]:[Points]],9,FALSE),IF($O30="Spécial ",VLOOKUP($M30,Tableau17[[Licence]:[Points]],9,FALSE),0)))</f>
        <v>#N/A</v>
      </c>
      <c r="Z30" s="49" t="e">
        <f>IF($O30="Généraliste ",VLOOKUP($M30,Tableau110[[Licence]:[Points]],16,FALSE),IF($O30="Technique ",VLOOKUP($M30,Tableau110[[Licence]:[Points]],16,FALSE),IF($O30="Spécial ",VLOOKUP($M30,Tableau110[[Licence]:[Points]],16,FALSE),0)))</f>
        <v>#N/A</v>
      </c>
      <c r="AA30" s="104">
        <f>IF($O30="Technique ",VLOOKUP($M30,Tableau1711[[Licence]:[Points]],9,FALSE),0)</f>
        <v>0</v>
      </c>
      <c r="AB30" s="104">
        <f>IF($O30="Technique ",VLOOKUP($M30,Tableau11012[[Licence]:[Points]],16,FALSE),0)</f>
        <v>0</v>
      </c>
      <c r="AC30" s="104" t="e">
        <f>VLOOKUP($M30,Tableau16[[Licence]:[Points]],9,FALSE)</f>
        <v>#N/A</v>
      </c>
      <c r="AD30" s="104" t="e">
        <f>VLOOKUP($M30,Tableau1613[[Licence]:[Points]],9,FALSE)</f>
        <v>#N/A</v>
      </c>
      <c r="AE30" s="104" t="e">
        <f>VLOOKUP($M30,Tableau189[[Licence]:[Points]],12,FALSE)</f>
        <v>#N/A</v>
      </c>
      <c r="AF30" s="104" t="e">
        <f>VLOOKUP($M30,Tableau18914[[Licence]:[Points]],12,FALSE)</f>
        <v>#N/A</v>
      </c>
    </row>
    <row r="31" spans="1:32" ht="15.75" thickBot="1">
      <c r="A31" s="13"/>
      <c r="B31" s="14"/>
      <c r="C31" s="14"/>
      <c r="D31" s="15" t="s">
        <v>52</v>
      </c>
      <c r="E31" s="14"/>
      <c r="F31" s="14"/>
      <c r="G31" s="14"/>
      <c r="H31" s="14"/>
      <c r="I31" s="104"/>
      <c r="J31" s="30"/>
      <c r="K31" s="60"/>
      <c r="L31" s="46"/>
      <c r="M31" s="70"/>
      <c r="N31" s="67" t="s">
        <v>54</v>
      </c>
      <c r="O31" s="47" t="s">
        <v>91</v>
      </c>
      <c r="P31" s="144" t="str">
        <f t="shared" si="0"/>
        <v>1 Saut + 1 Lancer + 1 Course</v>
      </c>
      <c r="Q31" s="116">
        <f t="shared" si="1"/>
        <v>0</v>
      </c>
      <c r="R31" s="116">
        <f t="shared" si="2"/>
        <v>0</v>
      </c>
      <c r="S31" s="116">
        <f t="shared" si="3"/>
        <v>0</v>
      </c>
      <c r="T31" s="117">
        <f t="shared" si="4"/>
        <v>0</v>
      </c>
      <c r="U31" s="117">
        <f t="shared" si="5"/>
        <v>0</v>
      </c>
      <c r="V31" s="117">
        <f t="shared" si="6"/>
        <v>0</v>
      </c>
      <c r="W31" s="117">
        <f t="shared" si="7"/>
        <v>0</v>
      </c>
      <c r="X31" s="70"/>
      <c r="Y31" s="138" t="e">
        <f>IF($O31="Généraliste ",VLOOKUP($M31,Tableau17[[Licence]:[Points]],9,FALSE),IF($O31="Technique ",VLOOKUP($M31,Tableau17[[Licence]:[Points]],9,FALSE),IF($O31="Spécial ",VLOOKUP($M31,Tableau17[[Licence]:[Points]],9,FALSE),0)))</f>
        <v>#N/A</v>
      </c>
      <c r="Z31" s="49" t="e">
        <f>IF($O31="Généraliste ",VLOOKUP($M31,Tableau110[[Licence]:[Points]],16,FALSE),IF($O31="Technique ",VLOOKUP($M31,Tableau110[[Licence]:[Points]],16,FALSE),IF($O31="Spécial ",VLOOKUP($M31,Tableau110[[Licence]:[Points]],16,FALSE),0)))</f>
        <v>#N/A</v>
      </c>
      <c r="AA31" s="104">
        <f>IF($O31="Technique ",VLOOKUP($M31,Tableau1711[[Licence]:[Points]],9,FALSE),0)</f>
        <v>0</v>
      </c>
      <c r="AB31" s="104">
        <f>IF($O31="Technique ",VLOOKUP($M31,Tableau11012[[Licence]:[Points]],16,FALSE),0)</f>
        <v>0</v>
      </c>
      <c r="AC31" s="104" t="e">
        <f>VLOOKUP($M31,Tableau16[[Licence]:[Points]],9,FALSE)</f>
        <v>#N/A</v>
      </c>
      <c r="AD31" s="104" t="e">
        <f>VLOOKUP($M31,Tableau1613[[Licence]:[Points]],9,FALSE)</f>
        <v>#N/A</v>
      </c>
      <c r="AE31" s="104" t="e">
        <f>VLOOKUP($M31,Tableau189[[Licence]:[Points]],12,FALSE)</f>
        <v>#N/A</v>
      </c>
      <c r="AF31" s="104" t="e">
        <f>VLOOKUP($M31,Tableau18914[[Licence]:[Points]],12,FALSE)</f>
        <v>#N/A</v>
      </c>
    </row>
    <row r="32" spans="1:32" ht="15.75" thickBot="1">
      <c r="A32" s="13"/>
      <c r="B32" s="14"/>
      <c r="C32" s="14"/>
      <c r="D32" s="15" t="s">
        <v>52</v>
      </c>
      <c r="E32" s="14"/>
      <c r="F32" s="14"/>
      <c r="G32" s="14"/>
      <c r="H32" s="14"/>
      <c r="I32" s="104"/>
      <c r="J32" s="30"/>
      <c r="K32" s="60"/>
      <c r="L32" s="46"/>
      <c r="M32" s="70"/>
      <c r="N32" s="67" t="s">
        <v>54</v>
      </c>
      <c r="O32" s="47" t="s">
        <v>91</v>
      </c>
      <c r="P32" s="144" t="str">
        <f t="shared" si="0"/>
        <v>1 Saut + 1 Lancer + 1 Course</v>
      </c>
      <c r="Q32" s="116">
        <f t="shared" si="1"/>
        <v>0</v>
      </c>
      <c r="R32" s="116">
        <f t="shared" si="2"/>
        <v>0</v>
      </c>
      <c r="S32" s="116">
        <f t="shared" si="3"/>
        <v>0</v>
      </c>
      <c r="T32" s="117">
        <f t="shared" si="4"/>
        <v>0</v>
      </c>
      <c r="U32" s="117">
        <f t="shared" si="5"/>
        <v>0</v>
      </c>
      <c r="V32" s="117">
        <f t="shared" si="6"/>
        <v>0</v>
      </c>
      <c r="W32" s="117">
        <f t="shared" si="7"/>
        <v>0</v>
      </c>
      <c r="X32" s="70"/>
      <c r="Y32" s="138" t="e">
        <f>IF($O32="Généraliste ",VLOOKUP($M32,Tableau17[[Licence]:[Points]],9,FALSE),IF($O32="Technique ",VLOOKUP($M32,Tableau17[[Licence]:[Points]],9,FALSE),IF($O32="Spécial ",VLOOKUP($M32,Tableau17[[Licence]:[Points]],9,FALSE),0)))</f>
        <v>#N/A</v>
      </c>
      <c r="Z32" s="49" t="e">
        <f>IF($O32="Généraliste ",VLOOKUP($M32,Tableau110[[Licence]:[Points]],16,FALSE),IF($O32="Technique ",VLOOKUP($M32,Tableau110[[Licence]:[Points]],16,FALSE),IF($O32="Spécial ",VLOOKUP($M32,Tableau110[[Licence]:[Points]],16,FALSE),0)))</f>
        <v>#N/A</v>
      </c>
      <c r="AA32" s="104">
        <f>IF($O32="Technique ",VLOOKUP($M32,Tableau1711[[Licence]:[Points]],9,FALSE),0)</f>
        <v>0</v>
      </c>
      <c r="AB32" s="104">
        <f>IF($O32="Technique ",VLOOKUP($M32,Tableau11012[[Licence]:[Points]],16,FALSE),0)</f>
        <v>0</v>
      </c>
      <c r="AC32" s="104" t="e">
        <f>VLOOKUP($M32,Tableau16[[Licence]:[Points]],9,FALSE)</f>
        <v>#N/A</v>
      </c>
      <c r="AD32" s="104" t="e">
        <f>VLOOKUP($M32,Tableau1613[[Licence]:[Points]],9,FALSE)</f>
        <v>#N/A</v>
      </c>
      <c r="AE32" s="104" t="e">
        <f>VLOOKUP($M32,Tableau189[[Licence]:[Points]],12,FALSE)</f>
        <v>#N/A</v>
      </c>
      <c r="AF32" s="104" t="e">
        <f>VLOOKUP($M32,Tableau18914[[Licence]:[Points]],12,FALSE)</f>
        <v>#N/A</v>
      </c>
    </row>
    <row r="33" spans="1:32" ht="15.75" thickBot="1">
      <c r="A33" s="13"/>
      <c r="B33" s="14"/>
      <c r="C33" s="14"/>
      <c r="D33" s="15" t="s">
        <v>52</v>
      </c>
      <c r="E33" s="14"/>
      <c r="F33" s="14"/>
      <c r="G33" s="14"/>
      <c r="H33" s="14"/>
      <c r="I33" s="104"/>
      <c r="J33" s="30"/>
      <c r="K33" s="60"/>
      <c r="L33" s="46"/>
      <c r="M33" s="70"/>
      <c r="N33" s="67" t="s">
        <v>54</v>
      </c>
      <c r="O33" s="47" t="s">
        <v>91</v>
      </c>
      <c r="P33" s="144" t="str">
        <f t="shared" si="0"/>
        <v>1 Saut + 1 Lancer + 1 Course</v>
      </c>
      <c r="Q33" s="116">
        <f t="shared" si="1"/>
        <v>0</v>
      </c>
      <c r="R33" s="116">
        <f t="shared" si="2"/>
        <v>0</v>
      </c>
      <c r="S33" s="116">
        <f t="shared" si="3"/>
        <v>0</v>
      </c>
      <c r="T33" s="117">
        <f t="shared" si="4"/>
        <v>0</v>
      </c>
      <c r="U33" s="117">
        <f t="shared" si="5"/>
        <v>0</v>
      </c>
      <c r="V33" s="117">
        <f t="shared" si="6"/>
        <v>0</v>
      </c>
      <c r="W33" s="117">
        <f t="shared" si="7"/>
        <v>0</v>
      </c>
      <c r="X33" s="70"/>
      <c r="Y33" s="138" t="e">
        <f>IF($O33="Généraliste ",VLOOKUP($M33,Tableau17[[Licence]:[Points]],9,FALSE),IF($O33="Technique ",VLOOKUP($M33,Tableau17[[Licence]:[Points]],9,FALSE),IF($O33="Spécial ",VLOOKUP($M33,Tableau17[[Licence]:[Points]],9,FALSE),0)))</f>
        <v>#N/A</v>
      </c>
      <c r="Z33" s="49" t="e">
        <f>IF($O33="Généraliste ",VLOOKUP($M33,Tableau110[[Licence]:[Points]],16,FALSE),IF($O33="Technique ",VLOOKUP($M33,Tableau110[[Licence]:[Points]],16,FALSE),IF($O33="Spécial ",VLOOKUP($M33,Tableau110[[Licence]:[Points]],16,FALSE),0)))</f>
        <v>#N/A</v>
      </c>
      <c r="AA33" s="104">
        <f>IF($O33="Technique ",VLOOKUP($M33,Tableau1711[[Licence]:[Points]],9,FALSE),0)</f>
        <v>0</v>
      </c>
      <c r="AB33" s="104">
        <f>IF($O33="Technique ",VLOOKUP($M33,Tableau11012[[Licence]:[Points]],16,FALSE),0)</f>
        <v>0</v>
      </c>
      <c r="AC33" s="104" t="e">
        <f>VLOOKUP($M33,Tableau16[[Licence]:[Points]],9,FALSE)</f>
        <v>#N/A</v>
      </c>
      <c r="AD33" s="104" t="e">
        <f>VLOOKUP($M33,Tableau1613[[Licence]:[Points]],9,FALSE)</f>
        <v>#N/A</v>
      </c>
      <c r="AE33" s="104" t="e">
        <f>VLOOKUP($M33,Tableau189[[Licence]:[Points]],12,FALSE)</f>
        <v>#N/A</v>
      </c>
      <c r="AF33" s="104" t="e">
        <f>VLOOKUP($M33,Tableau18914[[Licence]:[Points]],12,FALSE)</f>
        <v>#N/A</v>
      </c>
    </row>
    <row r="34" spans="1:32" ht="15.75" thickBot="1">
      <c r="A34" s="13"/>
      <c r="B34" s="14"/>
      <c r="C34" s="14"/>
      <c r="D34" s="15" t="s">
        <v>52</v>
      </c>
      <c r="E34" s="14"/>
      <c r="F34" s="14"/>
      <c r="G34" s="14"/>
      <c r="H34" s="14"/>
      <c r="I34" s="104"/>
      <c r="J34" s="30"/>
      <c r="K34" s="60"/>
      <c r="L34" s="46"/>
      <c r="M34" s="70"/>
      <c r="N34" s="67" t="s">
        <v>54</v>
      </c>
      <c r="O34" s="47" t="s">
        <v>91</v>
      </c>
      <c r="P34" s="144" t="str">
        <f t="shared" si="0"/>
        <v>1 Saut + 1 Lancer + 1 Course</v>
      </c>
      <c r="Q34" s="116">
        <f t="shared" si="1"/>
        <v>0</v>
      </c>
      <c r="R34" s="116">
        <f t="shared" si="2"/>
        <v>0</v>
      </c>
      <c r="S34" s="116">
        <f t="shared" si="3"/>
        <v>0</v>
      </c>
      <c r="T34" s="117">
        <f t="shared" si="4"/>
        <v>0</v>
      </c>
      <c r="U34" s="117">
        <f t="shared" si="5"/>
        <v>0</v>
      </c>
      <c r="V34" s="117">
        <f t="shared" si="6"/>
        <v>0</v>
      </c>
      <c r="W34" s="117">
        <f t="shared" si="7"/>
        <v>0</v>
      </c>
      <c r="X34" s="70"/>
      <c r="Y34" s="138" t="e">
        <f>IF($O34="Généraliste ",VLOOKUP($M34,Tableau17[[Licence]:[Points]],9,FALSE),IF($O34="Technique ",VLOOKUP($M34,Tableau17[[Licence]:[Points]],9,FALSE),IF($O34="Spécial ",VLOOKUP($M34,Tableau17[[Licence]:[Points]],9,FALSE),0)))</f>
        <v>#N/A</v>
      </c>
      <c r="Z34" s="49" t="e">
        <f>IF($O34="Généraliste ",VLOOKUP($M34,Tableau110[[Licence]:[Points]],16,FALSE),IF($O34="Technique ",VLOOKUP($M34,Tableau110[[Licence]:[Points]],16,FALSE),IF($O34="Spécial ",VLOOKUP($M34,Tableau110[[Licence]:[Points]],16,FALSE),0)))</f>
        <v>#N/A</v>
      </c>
      <c r="AA34" s="104">
        <f>IF($O34="Technique ",VLOOKUP($M34,Tableau1711[[Licence]:[Points]],9,FALSE),0)</f>
        <v>0</v>
      </c>
      <c r="AB34" s="104">
        <f>IF($O34="Technique ",VLOOKUP($M34,Tableau11012[[Licence]:[Points]],16,FALSE),0)</f>
        <v>0</v>
      </c>
      <c r="AC34" s="104" t="e">
        <f>VLOOKUP($M34,Tableau16[[Licence]:[Points]],9,FALSE)</f>
        <v>#N/A</v>
      </c>
      <c r="AD34" s="104" t="e">
        <f>VLOOKUP($M34,Tableau1613[[Licence]:[Points]],9,FALSE)</f>
        <v>#N/A</v>
      </c>
      <c r="AE34" s="104" t="e">
        <f>VLOOKUP($M34,Tableau189[[Licence]:[Points]],12,FALSE)</f>
        <v>#N/A</v>
      </c>
      <c r="AF34" s="104" t="e">
        <f>VLOOKUP($M34,Tableau18914[[Licence]:[Points]],12,FALSE)</f>
        <v>#N/A</v>
      </c>
    </row>
    <row r="35" spans="1:32" ht="15.75" thickBot="1">
      <c r="A35" s="13"/>
      <c r="B35" s="14"/>
      <c r="C35" s="14"/>
      <c r="D35" s="15" t="s">
        <v>52</v>
      </c>
      <c r="E35" s="14"/>
      <c r="F35" s="14"/>
      <c r="G35" s="14"/>
      <c r="H35" s="14"/>
      <c r="I35" s="104"/>
      <c r="J35" s="30"/>
      <c r="K35" s="60"/>
      <c r="L35" s="46"/>
      <c r="M35" s="70"/>
      <c r="N35" s="67" t="s">
        <v>54</v>
      </c>
      <c r="O35" s="47" t="s">
        <v>91</v>
      </c>
      <c r="P35" s="144" t="str">
        <f t="shared" si="0"/>
        <v>1 Saut + 1 Lancer + 1 Course</v>
      </c>
      <c r="Q35" s="116">
        <f t="shared" si="1"/>
        <v>0</v>
      </c>
      <c r="R35" s="116">
        <f t="shared" si="2"/>
        <v>0</v>
      </c>
      <c r="S35" s="116">
        <f t="shared" si="3"/>
        <v>0</v>
      </c>
      <c r="T35" s="117">
        <f t="shared" si="4"/>
        <v>0</v>
      </c>
      <c r="U35" s="117">
        <f t="shared" si="5"/>
        <v>0</v>
      </c>
      <c r="V35" s="117">
        <f t="shared" si="6"/>
        <v>0</v>
      </c>
      <c r="W35" s="117">
        <f t="shared" si="7"/>
        <v>0</v>
      </c>
      <c r="X35" s="70"/>
      <c r="Y35" s="138" t="e">
        <f>IF($O35="Généraliste ",VLOOKUP($M35,Tableau17[[Licence]:[Points]],9,FALSE),IF($O35="Technique ",VLOOKUP($M35,Tableau17[[Licence]:[Points]],9,FALSE),IF($O35="Spécial ",VLOOKUP($M35,Tableau17[[Licence]:[Points]],9,FALSE),0)))</f>
        <v>#N/A</v>
      </c>
      <c r="Z35" s="49" t="e">
        <f>IF($O35="Généraliste ",VLOOKUP($M35,Tableau110[[Licence]:[Points]],16,FALSE),IF($O35="Technique ",VLOOKUP($M35,Tableau110[[Licence]:[Points]],16,FALSE),IF($O35="Spécial ",VLOOKUP($M35,Tableau110[[Licence]:[Points]],16,FALSE),0)))</f>
        <v>#N/A</v>
      </c>
      <c r="AA35" s="104">
        <f>IF($O35="Technique ",VLOOKUP($M35,Tableau1711[[Licence]:[Points]],9,FALSE),0)</f>
        <v>0</v>
      </c>
      <c r="AB35" s="104">
        <f>IF($O35="Technique ",VLOOKUP($M35,Tableau11012[[Licence]:[Points]],16,FALSE),0)</f>
        <v>0</v>
      </c>
      <c r="AC35" s="104" t="e">
        <f>VLOOKUP($M35,Tableau16[[Licence]:[Points]],9,FALSE)</f>
        <v>#N/A</v>
      </c>
      <c r="AD35" s="104" t="e">
        <f>VLOOKUP($M35,Tableau1613[[Licence]:[Points]],9,FALSE)</f>
        <v>#N/A</v>
      </c>
      <c r="AE35" s="104" t="e">
        <f>VLOOKUP($M35,Tableau189[[Licence]:[Points]],12,FALSE)</f>
        <v>#N/A</v>
      </c>
      <c r="AF35" s="104" t="e">
        <f>VLOOKUP($M35,Tableau18914[[Licence]:[Points]],12,FALSE)</f>
        <v>#N/A</v>
      </c>
    </row>
    <row r="36" spans="1:32" ht="15.75" thickBot="1">
      <c r="A36" s="13"/>
      <c r="B36" s="14"/>
      <c r="C36" s="14"/>
      <c r="D36" s="15" t="s">
        <v>52</v>
      </c>
      <c r="E36" s="14"/>
      <c r="F36" s="14"/>
      <c r="G36" s="14"/>
      <c r="H36" s="14"/>
      <c r="I36" s="104"/>
      <c r="J36" s="30"/>
      <c r="K36" s="60"/>
      <c r="L36" s="46"/>
      <c r="M36" s="70"/>
      <c r="N36" s="67" t="s">
        <v>54</v>
      </c>
      <c r="O36" s="47" t="s">
        <v>91</v>
      </c>
      <c r="P36" s="144" t="str">
        <f t="shared" si="0"/>
        <v>1 Saut + 1 Lancer + 1 Course</v>
      </c>
      <c r="Q36" s="116">
        <f t="shared" si="1"/>
        <v>0</v>
      </c>
      <c r="R36" s="116">
        <f t="shared" si="2"/>
        <v>0</v>
      </c>
      <c r="S36" s="116">
        <f t="shared" si="3"/>
        <v>0</v>
      </c>
      <c r="T36" s="117">
        <f t="shared" si="4"/>
        <v>0</v>
      </c>
      <c r="U36" s="117">
        <f t="shared" si="5"/>
        <v>0</v>
      </c>
      <c r="V36" s="117">
        <f t="shared" si="6"/>
        <v>0</v>
      </c>
      <c r="W36" s="117">
        <f t="shared" si="7"/>
        <v>0</v>
      </c>
      <c r="X36" s="70"/>
      <c r="Y36" s="138" t="e">
        <f>IF($O36="Généraliste ",VLOOKUP($M36,Tableau17[[Licence]:[Points]],9,FALSE),IF($O36="Technique ",VLOOKUP($M36,Tableau17[[Licence]:[Points]],9,FALSE),IF($O36="Spécial ",VLOOKUP($M36,Tableau17[[Licence]:[Points]],9,FALSE),0)))</f>
        <v>#N/A</v>
      </c>
      <c r="Z36" s="49" t="e">
        <f>IF($O36="Généraliste ",VLOOKUP($M36,Tableau110[[Licence]:[Points]],16,FALSE),IF($O36="Technique ",VLOOKUP($M36,Tableau110[[Licence]:[Points]],16,FALSE),IF($O36="Spécial ",VLOOKUP($M36,Tableau110[[Licence]:[Points]],16,FALSE),0)))</f>
        <v>#N/A</v>
      </c>
      <c r="AA36" s="104">
        <f>IF($O36="Technique ",VLOOKUP($M36,Tableau1711[[Licence]:[Points]],9,FALSE),0)</f>
        <v>0</v>
      </c>
      <c r="AB36" s="104">
        <f>IF($O36="Technique ",VLOOKUP($M36,Tableau11012[[Licence]:[Points]],16,FALSE),0)</f>
        <v>0</v>
      </c>
      <c r="AC36" s="104" t="e">
        <f>VLOOKUP($M36,Tableau16[[Licence]:[Points]],9,FALSE)</f>
        <v>#N/A</v>
      </c>
      <c r="AD36" s="104" t="e">
        <f>VLOOKUP($M36,Tableau1613[[Licence]:[Points]],9,FALSE)</f>
        <v>#N/A</v>
      </c>
      <c r="AE36" s="104" t="e">
        <f>VLOOKUP($M36,Tableau189[[Licence]:[Points]],12,FALSE)</f>
        <v>#N/A</v>
      </c>
      <c r="AF36" s="104" t="e">
        <f>VLOOKUP($M36,Tableau18914[[Licence]:[Points]],12,FALSE)</f>
        <v>#N/A</v>
      </c>
    </row>
    <row r="37" spans="1:32" ht="15.75" thickBot="1">
      <c r="A37" s="13"/>
      <c r="B37" s="14"/>
      <c r="C37" s="14"/>
      <c r="D37" s="15" t="s">
        <v>52</v>
      </c>
      <c r="E37" s="14"/>
      <c r="F37" s="14"/>
      <c r="G37" s="14"/>
      <c r="H37" s="14"/>
      <c r="I37" s="104"/>
      <c r="J37" s="30"/>
      <c r="K37" s="60"/>
      <c r="L37" s="46"/>
      <c r="M37" s="70"/>
      <c r="N37" s="67" t="s">
        <v>54</v>
      </c>
      <c r="O37" s="47" t="s">
        <v>91</v>
      </c>
      <c r="P37" s="144" t="str">
        <f t="shared" si="0"/>
        <v>1 Saut + 1 Lancer + 1 Course</v>
      </c>
      <c r="Q37" s="116">
        <f t="shared" si="1"/>
        <v>0</v>
      </c>
      <c r="R37" s="116">
        <f t="shared" si="2"/>
        <v>0</v>
      </c>
      <c r="S37" s="116">
        <f t="shared" si="3"/>
        <v>0</v>
      </c>
      <c r="T37" s="117">
        <f t="shared" si="4"/>
        <v>0</v>
      </c>
      <c r="U37" s="117">
        <f t="shared" si="5"/>
        <v>0</v>
      </c>
      <c r="V37" s="117">
        <f t="shared" si="6"/>
        <v>0</v>
      </c>
      <c r="W37" s="117">
        <f t="shared" si="7"/>
        <v>0</v>
      </c>
      <c r="X37" s="70"/>
      <c r="Y37" s="138" t="e">
        <f>IF($O37="Généraliste ",VLOOKUP($M37,Tableau17[[Licence]:[Points]],9,FALSE),IF($O37="Technique ",VLOOKUP($M37,Tableau17[[Licence]:[Points]],9,FALSE),IF($O37="Spécial ",VLOOKUP($M37,Tableau17[[Licence]:[Points]],9,FALSE),0)))</f>
        <v>#N/A</v>
      </c>
      <c r="Z37" s="49" t="e">
        <f>IF($O37="Généraliste ",VLOOKUP($M37,Tableau110[[Licence]:[Points]],16,FALSE),IF($O37="Technique ",VLOOKUP($M37,Tableau110[[Licence]:[Points]],16,FALSE),IF($O37="Spécial ",VLOOKUP($M37,Tableau110[[Licence]:[Points]],16,FALSE),0)))</f>
        <v>#N/A</v>
      </c>
      <c r="AA37" s="104">
        <f>IF($O37="Technique ",VLOOKUP($M37,Tableau1711[[Licence]:[Points]],9,FALSE),0)</f>
        <v>0</v>
      </c>
      <c r="AB37" s="104">
        <f>IF($O37="Technique ",VLOOKUP($M37,Tableau11012[[Licence]:[Points]],16,FALSE),0)</f>
        <v>0</v>
      </c>
      <c r="AC37" s="104" t="e">
        <f>VLOOKUP($M37,Tableau16[[Licence]:[Points]],9,FALSE)</f>
        <v>#N/A</v>
      </c>
      <c r="AD37" s="104" t="e">
        <f>VLOOKUP($M37,Tableau1613[[Licence]:[Points]],9,FALSE)</f>
        <v>#N/A</v>
      </c>
      <c r="AE37" s="104" t="e">
        <f>VLOOKUP($M37,Tableau189[[Licence]:[Points]],12,FALSE)</f>
        <v>#N/A</v>
      </c>
      <c r="AF37" s="104" t="e">
        <f>VLOOKUP($M37,Tableau18914[[Licence]:[Points]],12,FALSE)</f>
        <v>#N/A</v>
      </c>
    </row>
    <row r="38" spans="1:32" ht="15.75" thickBot="1">
      <c r="A38" s="16"/>
      <c r="B38" s="17"/>
      <c r="C38" s="17"/>
      <c r="D38" s="15" t="s">
        <v>52</v>
      </c>
      <c r="E38" s="17"/>
      <c r="F38" s="17"/>
      <c r="G38" s="17"/>
      <c r="H38" s="17"/>
      <c r="I38" s="112"/>
      <c r="J38" s="142"/>
      <c r="K38" s="62"/>
      <c r="L38" s="63"/>
      <c r="M38" s="71"/>
      <c r="N38" s="68" t="s">
        <v>54</v>
      </c>
      <c r="O38" s="143" t="s">
        <v>91</v>
      </c>
      <c r="P38" s="145" t="str">
        <f t="shared" si="0"/>
        <v>1 Saut + 1 Lancer + 1 Course</v>
      </c>
      <c r="Q38" s="146">
        <f t="shared" si="1"/>
        <v>0</v>
      </c>
      <c r="R38" s="146">
        <f t="shared" si="2"/>
        <v>0</v>
      </c>
      <c r="S38" s="146">
        <f t="shared" si="3"/>
        <v>0</v>
      </c>
      <c r="T38" s="147">
        <f t="shared" si="4"/>
        <v>0</v>
      </c>
      <c r="U38" s="147">
        <f t="shared" si="5"/>
        <v>0</v>
      </c>
      <c r="V38" s="147">
        <f t="shared" si="6"/>
        <v>0</v>
      </c>
      <c r="W38" s="147">
        <f t="shared" si="7"/>
        <v>0</v>
      </c>
      <c r="X38" s="71"/>
      <c r="Y38" s="139" t="e">
        <f>IF($O38="Généraliste ",VLOOKUP($M38,Tableau17[[Licence]:[Points]],9,FALSE),IF($O38="Technique ",VLOOKUP($M38,Tableau17[[Licence]:[Points]],9,FALSE),IF($O38="Spécial ",VLOOKUP($M38,Tableau17[[Licence]:[Points]],9,FALSE),0)))</f>
        <v>#N/A</v>
      </c>
      <c r="Z38" s="50" t="e">
        <f>IF($O38="Généraliste ",VLOOKUP($M38,Tableau110[[Licence]:[Points]],16,FALSE),IF($O38="Technique ",VLOOKUP($M38,Tableau110[[Licence]:[Points]],16,FALSE),IF($O38="Spécial ",VLOOKUP($M38,Tableau110[[Licence]:[Points]],16,FALSE),0)))</f>
        <v>#N/A</v>
      </c>
      <c r="AA38" s="104">
        <f>IF($O38="Technique ",VLOOKUP($M38,Tableau1711[[Licence]:[Points]],9,FALSE),0)</f>
        <v>0</v>
      </c>
      <c r="AB38" s="104">
        <f>IF($O38="Technique ",VLOOKUP($M38,Tableau11012[[Licence]:[Points]],16,FALSE),0)</f>
        <v>0</v>
      </c>
      <c r="AC38" s="104" t="e">
        <f>VLOOKUP($M38,Tableau16[[Licence]:[Points]],9,FALSE)</f>
        <v>#N/A</v>
      </c>
      <c r="AD38" s="104" t="e">
        <f>VLOOKUP($M38,Tableau1613[[Licence]:[Points]],9,FALSE)</f>
        <v>#N/A</v>
      </c>
      <c r="AE38" s="104" t="e">
        <f>VLOOKUP($M38,Tableau189[[Licence]:[Points]],12,FALSE)</f>
        <v>#N/A</v>
      </c>
      <c r="AF38" s="104" t="e">
        <f>VLOOKUP($M38,Tableau18914[[Licence]:[Points]],12,FALSE)</f>
        <v>#N/A</v>
      </c>
    </row>
    <row r="39" spans="1:10" ht="15.75" customHeight="1">
      <c r="A39" s="30"/>
      <c r="B39" s="30"/>
      <c r="C39" s="30"/>
      <c r="D39" s="10"/>
      <c r="E39" s="30"/>
      <c r="F39" s="30"/>
      <c r="G39" s="30"/>
      <c r="H39" s="10"/>
      <c r="I39" s="30"/>
      <c r="J39" s="30"/>
    </row>
    <row r="40" spans="1:33" ht="15.75" customHeight="1">
      <c r="A40" s="30"/>
      <c r="B40" s="30"/>
      <c r="C40" s="30"/>
      <c r="D40" s="10"/>
      <c r="E40" s="30"/>
      <c r="F40" s="30"/>
      <c r="G40" s="30"/>
      <c r="H40" s="10"/>
      <c r="I40" s="30"/>
      <c r="J40" s="30"/>
      <c r="AG40" s="11"/>
    </row>
    <row r="41" spans="1:33" ht="15">
      <c r="A41" s="30"/>
      <c r="B41" s="30"/>
      <c r="C41" s="30"/>
      <c r="D41" s="10"/>
      <c r="E41" s="30"/>
      <c r="F41" s="30"/>
      <c r="G41" s="30"/>
      <c r="H41" s="10"/>
      <c r="I41" s="30"/>
      <c r="J41" s="30"/>
      <c r="AG41" s="11"/>
    </row>
    <row r="42" ht="15">
      <c r="AG42" s="11"/>
    </row>
    <row r="43" ht="15">
      <c r="AG43" s="11"/>
    </row>
    <row r="44" ht="15">
      <c r="AG44" s="11"/>
    </row>
    <row r="45" ht="15">
      <c r="AG45" s="11"/>
    </row>
  </sheetData>
  <sheetProtection password="D2F3" sheet="1" objects="1" scenarios="1"/>
  <mergeCells count="15">
    <mergeCell ref="B5:B6"/>
    <mergeCell ref="C5:D6"/>
    <mergeCell ref="F5:G5"/>
    <mergeCell ref="L5:L6"/>
    <mergeCell ref="A2:I3"/>
    <mergeCell ref="C4:D4"/>
    <mergeCell ref="E4:H4"/>
    <mergeCell ref="F6:G6"/>
    <mergeCell ref="M4:O4"/>
    <mergeCell ref="W4:X6"/>
    <mergeCell ref="K2:X3"/>
    <mergeCell ref="U6:V6"/>
    <mergeCell ref="U5:V5"/>
    <mergeCell ref="Q4:V4"/>
    <mergeCell ref="M5:T6"/>
  </mergeCells>
  <dataValidations count="4">
    <dataValidation type="list" allowBlank="1" showInputMessage="1" showErrorMessage="1" sqref="B4">
      <formula1>$AG$2</formula1>
    </dataValidation>
    <dataValidation type="list" allowBlank="1" showInputMessage="1" showErrorMessage="1" sqref="D8:D38">
      <formula1>$AM$3:$AM$4</formula1>
    </dataValidation>
    <dataValidation type="list" allowBlank="1" showInputMessage="1" showErrorMessage="1" sqref="O8:O38">
      <formula1>$AK$7:$AK$11</formula1>
    </dataValidation>
    <dataValidation type="list" allowBlank="1" showInputMessage="1" showErrorMessage="1" sqref="P9:P38 N8:N11 N13:N38 N12">
      <formula1>$AM$5:$AM$6</formula1>
    </dataValidation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70" r:id="rId4"/>
  <drawing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37"/>
  <sheetViews>
    <sheetView workbookViewId="0" topLeftCell="A7">
      <selection activeCell="G17" sqref="G17"/>
    </sheetView>
  </sheetViews>
  <sheetFormatPr defaultColWidth="11.421875" defaultRowHeight="15"/>
  <cols>
    <col min="1" max="2" width="18.28125" style="0" customWidth="1"/>
    <col min="3" max="3" width="20.140625" style="0" customWidth="1"/>
    <col min="4" max="4" width="18.00390625" style="2" customWidth="1"/>
    <col min="5" max="5" width="14.00390625" style="2" customWidth="1"/>
    <col min="6" max="10" width="12.57421875" style="0" customWidth="1"/>
    <col min="11" max="11" width="13.8515625" style="2" bestFit="1" customWidth="1"/>
    <col min="12" max="12" width="11.421875" style="11" hidden="1" customWidth="1"/>
    <col min="13" max="19" width="11.421875" style="0" hidden="1" customWidth="1"/>
  </cols>
  <sheetData>
    <row r="1" spans="1:20" ht="180.75" customHeight="1" thickBot="1">
      <c r="A1" s="5"/>
      <c r="B1" s="6"/>
      <c r="C1" s="6"/>
      <c r="D1" s="99"/>
      <c r="E1" s="99"/>
      <c r="F1" s="6"/>
      <c r="G1" s="6"/>
      <c r="H1" s="6"/>
      <c r="I1" s="6"/>
      <c r="J1" s="6"/>
      <c r="K1" s="99"/>
      <c r="L1" s="5"/>
      <c r="T1" s="11"/>
    </row>
    <row r="2" spans="1:20" ht="24" thickBot="1">
      <c r="A2" s="240" t="s">
        <v>108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54" t="s">
        <v>10</v>
      </c>
      <c r="M2" t="s">
        <v>129</v>
      </c>
      <c r="R2" t="s">
        <v>52</v>
      </c>
      <c r="T2" s="11"/>
    </row>
    <row r="3" spans="1:20" ht="15.75" thickBot="1">
      <c r="A3" s="21" t="s">
        <v>132</v>
      </c>
      <c r="B3" s="22"/>
      <c r="C3" s="242" t="str">
        <f>IF(B3="Triple saut ",N4," ")</f>
        <v/>
      </c>
      <c r="D3" s="243"/>
      <c r="E3" s="243"/>
      <c r="F3" s="244"/>
      <c r="G3" s="23" t="s">
        <v>62</v>
      </c>
      <c r="H3" s="206"/>
      <c r="I3" s="206"/>
      <c r="J3" s="206"/>
      <c r="K3" s="207"/>
      <c r="N3" t="s">
        <v>10</v>
      </c>
      <c r="R3" t="s">
        <v>53</v>
      </c>
      <c r="T3" s="11"/>
    </row>
    <row r="4" spans="1:20" ht="15">
      <c r="A4" s="18" t="s">
        <v>0</v>
      </c>
      <c r="B4" s="195" t="s">
        <v>61</v>
      </c>
      <c r="C4" s="245"/>
      <c r="D4" s="245"/>
      <c r="E4" s="246"/>
      <c r="F4" s="247"/>
      <c r="G4" s="215" t="s">
        <v>1</v>
      </c>
      <c r="H4" s="216"/>
      <c r="I4" s="217" t="s">
        <v>2</v>
      </c>
      <c r="J4" s="218"/>
      <c r="K4" s="250"/>
      <c r="M4" t="s">
        <v>130</v>
      </c>
      <c r="N4" t="s">
        <v>131</v>
      </c>
      <c r="R4" t="s">
        <v>54</v>
      </c>
      <c r="T4" s="11"/>
    </row>
    <row r="5" spans="1:20" ht="15.75" thickBot="1">
      <c r="A5" s="24"/>
      <c r="B5" s="210"/>
      <c r="C5" s="248"/>
      <c r="D5" s="248"/>
      <c r="E5" s="220"/>
      <c r="F5" s="249"/>
      <c r="G5" s="219"/>
      <c r="H5" s="220"/>
      <c r="I5" s="221"/>
      <c r="J5" s="222"/>
      <c r="K5" s="251"/>
      <c r="N5" t="s">
        <v>10</v>
      </c>
      <c r="R5" t="s">
        <v>55</v>
      </c>
      <c r="T5" s="11"/>
    </row>
    <row r="6" spans="1:20" ht="30" customHeight="1" thickBot="1">
      <c r="A6" s="19" t="s">
        <v>3</v>
      </c>
      <c r="B6" s="20" t="s">
        <v>4</v>
      </c>
      <c r="C6" s="20" t="s">
        <v>5</v>
      </c>
      <c r="D6" s="20" t="s">
        <v>7</v>
      </c>
      <c r="E6" s="20" t="s">
        <v>133</v>
      </c>
      <c r="F6" s="20" t="s">
        <v>117</v>
      </c>
      <c r="G6" s="20" t="s">
        <v>118</v>
      </c>
      <c r="H6" s="20" t="s">
        <v>119</v>
      </c>
      <c r="I6" s="20" t="s">
        <v>120</v>
      </c>
      <c r="J6" s="20" t="s">
        <v>121</v>
      </c>
      <c r="K6" s="20" t="s">
        <v>6</v>
      </c>
      <c r="L6" s="11" t="s">
        <v>52</v>
      </c>
      <c r="M6" t="s">
        <v>122</v>
      </c>
      <c r="N6" t="s">
        <v>53</v>
      </c>
      <c r="O6" t="s">
        <v>125</v>
      </c>
      <c r="P6" t="s">
        <v>54</v>
      </c>
      <c r="Q6" t="s">
        <v>128</v>
      </c>
      <c r="R6" t="s">
        <v>55</v>
      </c>
      <c r="S6" t="s">
        <v>58</v>
      </c>
      <c r="T6" s="11"/>
    </row>
    <row r="7" spans="1:20" ht="15">
      <c r="A7" s="56"/>
      <c r="B7" s="57"/>
      <c r="C7" s="69"/>
      <c r="D7" s="47" t="s">
        <v>53</v>
      </c>
      <c r="E7" s="35"/>
      <c r="F7" s="72"/>
      <c r="G7" s="88"/>
      <c r="H7" s="88"/>
      <c r="I7" s="88"/>
      <c r="J7" s="149">
        <f>MAX(F7,G7,H7,I7)</f>
        <v>0</v>
      </c>
      <c r="K7" s="150">
        <f>MAX(L7,M7,N7,O7,P7,Q7,R7,S7,)</f>
        <v>0</v>
      </c>
      <c r="L7" s="32" t="b">
        <f>IF($E7="Longueur ",IF($D7="BeF",VLOOKUP($J7,BeF_Concours!$D$3:$J$52,7,TRUE),FALSE))</f>
        <v>0</v>
      </c>
      <c r="M7" s="4" t="b">
        <f>IF($E7="Triple saut ",IF($D7="BeF",VLOOKUP($J7,BeF_Concours!$E$3:$J$52,6,TRUE),FALSE))</f>
        <v>0</v>
      </c>
      <c r="N7" s="4" t="b">
        <f>IF($E7="Longueur ",IF($D7="BeM",VLOOKUP($J7,BeM_Concours!$D$3:$J$52,7,TRUE),FALSE))</f>
        <v>0</v>
      </c>
      <c r="O7" s="4" t="b">
        <f>IF($E7="Triple saut ",IF($D7="BeM",VLOOKUP($J7,BeM_Concours!$E$3:$J$52,6,TRUE),FALSE))</f>
        <v>0</v>
      </c>
      <c r="P7" s="4" t="b">
        <f>IF($E7="Longueur ",IF($D7="MiF",VLOOKUP($J7,MiF_Concours!$D$3:$J$52,7,TRUE),FALSE))</f>
        <v>0</v>
      </c>
      <c r="Q7" s="4" t="b">
        <f>IF($E7="Triple saut ",IF($D7="MiF",VLOOKUP($J7,MiF_Concours!$E$3:$J$52,6,TRUE),FALSE))</f>
        <v>0</v>
      </c>
      <c r="R7" s="4" t="b">
        <f>IF($E7="Longueur ",IF($D7="MiM",VLOOKUP($J7,MiM_Concours!$D$3:$J$52,7,TRUE),FALSE))</f>
        <v>0</v>
      </c>
      <c r="S7" s="4" t="b">
        <f>IF($E7="Triple saut ",IF($D7="MiM",VLOOKUP($J7,MiM_Concours!$E$3:$J$52,6,TRUE),FALSE))</f>
        <v>0</v>
      </c>
      <c r="T7" s="11"/>
    </row>
    <row r="8" spans="1:20" ht="15">
      <c r="A8" s="60"/>
      <c r="B8" s="46"/>
      <c r="C8" s="70"/>
      <c r="D8" s="47" t="s">
        <v>52</v>
      </c>
      <c r="E8" s="37"/>
      <c r="F8" s="73"/>
      <c r="G8" s="48"/>
      <c r="H8" s="48"/>
      <c r="I8" s="48"/>
      <c r="J8" s="151">
        <f aca="true" t="shared" si="0" ref="J8:J37">MAX(F8,G8,H8,I8)</f>
        <v>0</v>
      </c>
      <c r="K8" s="152">
        <f aca="true" t="shared" si="1" ref="K8:K37">MAX(L8,M8,N8,O8,P8,Q8,R8,S8,)</f>
        <v>0</v>
      </c>
      <c r="L8" s="32" t="b">
        <f>IF($E8="Longueur ",IF($D8="BeF",VLOOKUP($J8,BeF_Concours!$D$3:$J$52,7,TRUE),FALSE))</f>
        <v>0</v>
      </c>
      <c r="M8" s="4" t="b">
        <f>IF($E8="Triple saut ",IF($D8="BeF",VLOOKUP($J8,BeF_Concours!$E$3:$J$52,6,TRUE),FALSE))</f>
        <v>0</v>
      </c>
      <c r="N8" s="4" t="b">
        <f>IF($E8="Longueur ",IF($D8="BeM",VLOOKUP($J8,BeM_Concours!$D$3:$J$52,7,TRUE),FALSE))</f>
        <v>0</v>
      </c>
      <c r="O8" s="4" t="b">
        <f>IF($E8="Triple saut ",IF($D8="BeM",VLOOKUP($J8,BeM_Concours!$E$3:$J$52,6,TRUE),FALSE))</f>
        <v>0</v>
      </c>
      <c r="P8" s="4" t="b">
        <f>IF($E8="Longueur ",IF($D8="MiF",VLOOKUP($J8,MiF_Concours!$D$3:$J$52,7,TRUE),FALSE))</f>
        <v>0</v>
      </c>
      <c r="Q8" s="4" t="b">
        <f>IF($E8="Triple saut ",IF($D8="MiF",VLOOKUP($J8,MiF_Concours!$E$3:$J$52,6,TRUE),FALSE))</f>
        <v>0</v>
      </c>
      <c r="R8" s="4" t="b">
        <f>IF($E8="Longueur ",IF($D8="MiM",VLOOKUP($J8,MiM_Concours!$D$3:$J$52,7,TRUE),FALSE))</f>
        <v>0</v>
      </c>
      <c r="S8" s="4" t="b">
        <f>IF($E8="Triple saut ",IF($D8="MiM",VLOOKUP($J8,MiM_Concours!$E$3:$J$52,6,TRUE),FALSE))</f>
        <v>0</v>
      </c>
      <c r="T8" s="11"/>
    </row>
    <row r="9" spans="1:20" ht="15">
      <c r="A9" s="60"/>
      <c r="B9" s="46"/>
      <c r="C9" s="70"/>
      <c r="D9" s="47" t="s">
        <v>54</v>
      </c>
      <c r="E9" s="37"/>
      <c r="F9" s="73"/>
      <c r="G9" s="48"/>
      <c r="H9" s="48"/>
      <c r="I9" s="48"/>
      <c r="J9" s="151">
        <f t="shared" si="0"/>
        <v>0</v>
      </c>
      <c r="K9" s="152">
        <f t="shared" si="1"/>
        <v>0</v>
      </c>
      <c r="L9" s="32" t="b">
        <f>IF($E9="Longueur ",IF($D9="BeF",VLOOKUP($J9,BeF_Concours!$D$3:$J$52,7,TRUE),FALSE))</f>
        <v>0</v>
      </c>
      <c r="M9" s="4" t="b">
        <f>IF($E9="Triple saut ",IF($D9="BeF",VLOOKUP($J9,BeF_Concours!$E$3:$J$52,6,TRUE),FALSE))</f>
        <v>0</v>
      </c>
      <c r="N9" s="4" t="b">
        <f>IF($E9="Longueur ",IF($D9="BeM",VLOOKUP($J9,BeM_Concours!$D$3:$J$52,7,TRUE),FALSE))</f>
        <v>0</v>
      </c>
      <c r="O9" s="4" t="b">
        <f>IF($E9="Triple saut ",IF($D9="BeM",VLOOKUP($J9,BeM_Concours!$E$3:$J$52,6,TRUE),FALSE))</f>
        <v>0</v>
      </c>
      <c r="P9" s="4" t="b">
        <f>IF($E9="Longueur ",IF($D9="MiF",VLOOKUP($J9,MiF_Concours!$D$3:$J$52,7,TRUE),FALSE))</f>
        <v>0</v>
      </c>
      <c r="Q9" s="4" t="b">
        <f>IF($E9="Triple saut ",IF($D9="MiF",VLOOKUP($J9,MiF_Concours!$E$3:$J$52,6,TRUE),FALSE))</f>
        <v>0</v>
      </c>
      <c r="R9" s="4" t="b">
        <f>IF($E9="Longueur ",IF($D9="MiM",VLOOKUP($J9,MiM_Concours!$D$3:$J$52,7,TRUE),FALSE))</f>
        <v>0</v>
      </c>
      <c r="S9" s="4" t="b">
        <f>IF($E9="Triple saut ",IF($D9="MiM",VLOOKUP($J9,MiM_Concours!$E$3:$J$52,6,TRUE),FALSE))</f>
        <v>0</v>
      </c>
      <c r="T9" s="11"/>
    </row>
    <row r="10" spans="1:20" ht="15">
      <c r="A10" s="60"/>
      <c r="B10" s="46"/>
      <c r="C10" s="70"/>
      <c r="D10" s="47" t="s">
        <v>54</v>
      </c>
      <c r="E10" s="37"/>
      <c r="F10" s="73"/>
      <c r="G10" s="48"/>
      <c r="H10" s="48"/>
      <c r="I10" s="48"/>
      <c r="J10" s="151">
        <f t="shared" si="0"/>
        <v>0</v>
      </c>
      <c r="K10" s="152">
        <f t="shared" si="1"/>
        <v>0</v>
      </c>
      <c r="L10" s="32" t="b">
        <f>IF($E10="Longueur ",IF($D10="BeF",VLOOKUP($J10,BeF_Concours!$D$3:$J$52,7,TRUE),FALSE))</f>
        <v>0</v>
      </c>
      <c r="M10" s="4" t="b">
        <f>IF($E10="Triple saut ",IF($D10="BeF",VLOOKUP($J10,BeF_Concours!$E$3:$J$52,6,TRUE),FALSE))</f>
        <v>0</v>
      </c>
      <c r="N10" s="4" t="b">
        <f>IF($E10="Longueur ",IF($D10="BeM",VLOOKUP($J10,BeM_Concours!$D$3:$J$52,7,TRUE),FALSE))</f>
        <v>0</v>
      </c>
      <c r="O10" s="4" t="b">
        <f>IF($E10="Triple saut ",IF($D10="BeM",VLOOKUP($J10,BeM_Concours!$E$3:$J$52,6,TRUE),FALSE))</f>
        <v>0</v>
      </c>
      <c r="P10" s="4" t="b">
        <f>IF($E10="Longueur ",IF($D10="MiF",VLOOKUP($J10,MiF_Concours!$D$3:$J$52,7,TRUE),FALSE))</f>
        <v>0</v>
      </c>
      <c r="Q10" s="4" t="b">
        <f>IF($E10="Triple saut ",IF($D10="MiF",VLOOKUP($J10,MiF_Concours!$E$3:$J$52,6,TRUE),FALSE))</f>
        <v>0</v>
      </c>
      <c r="R10" s="4" t="b">
        <f>IF($E10="Longueur ",IF($D10="MiM",VLOOKUP($J10,MiM_Concours!$D$3:$J$52,7,TRUE),FALSE))</f>
        <v>0</v>
      </c>
      <c r="S10" s="4" t="b">
        <f>IF($E10="Triple saut ",IF($D10="MiM",VLOOKUP($J10,MiM_Concours!$E$3:$J$52,6,TRUE),FALSE))</f>
        <v>0</v>
      </c>
      <c r="T10" s="11"/>
    </row>
    <row r="11" spans="1:20" ht="15">
      <c r="A11" s="60"/>
      <c r="B11" s="46"/>
      <c r="C11" s="70"/>
      <c r="D11" s="47" t="s">
        <v>53</v>
      </c>
      <c r="E11" s="37"/>
      <c r="F11" s="73"/>
      <c r="G11" s="48"/>
      <c r="H11" s="48"/>
      <c r="I11" s="48"/>
      <c r="J11" s="151">
        <f t="shared" si="0"/>
        <v>0</v>
      </c>
      <c r="K11" s="152">
        <f t="shared" si="1"/>
        <v>0</v>
      </c>
      <c r="L11" s="32" t="b">
        <f>IF($E11="Longueur ",IF($D11="BeF",VLOOKUP($J11,BeF_Concours!$D$3:$J$52,7,TRUE),FALSE))</f>
        <v>0</v>
      </c>
      <c r="M11" s="4" t="b">
        <f>IF($E11="Triple saut ",IF($D11="BeF",VLOOKUP($J11,BeF_Concours!$E$3:$J$52,6,TRUE),FALSE))</f>
        <v>0</v>
      </c>
      <c r="N11" s="4" t="b">
        <f>IF($E11="Longueur ",IF($D11="BeM",VLOOKUP($J11,BeM_Concours!$D$3:$J$52,7,TRUE),FALSE))</f>
        <v>0</v>
      </c>
      <c r="O11" s="4" t="b">
        <f>IF($E11="Triple saut ",IF($D11="BeM",VLOOKUP($J11,BeM_Concours!$E$3:$J$52,6,TRUE),FALSE))</f>
        <v>0</v>
      </c>
      <c r="P11" s="4" t="b">
        <f>IF($E11="Longueur ",IF($D11="MiF",VLOOKUP($J11,MiF_Concours!$D$3:$J$52,7,TRUE),FALSE))</f>
        <v>0</v>
      </c>
      <c r="Q11" s="4" t="b">
        <f>IF($E11="Triple saut ",IF($D11="MiF",VLOOKUP($J11,MiF_Concours!$E$3:$J$52,6,TRUE),FALSE))</f>
        <v>0</v>
      </c>
      <c r="R11" s="4" t="b">
        <f>IF($E11="Longueur ",IF($D11="MiM",VLOOKUP($J11,MiM_Concours!$D$3:$J$52,7,TRUE),FALSE))</f>
        <v>0</v>
      </c>
      <c r="S11" s="4" t="b">
        <f>IF($E11="Triple saut ",IF($D11="MiM",VLOOKUP($J11,MiM_Concours!$E$3:$J$52,6,TRUE),FALSE))</f>
        <v>0</v>
      </c>
      <c r="T11" s="11"/>
    </row>
    <row r="12" spans="1:20" ht="15">
      <c r="A12" s="60"/>
      <c r="B12" s="46"/>
      <c r="C12" s="70"/>
      <c r="D12" s="47" t="s">
        <v>54</v>
      </c>
      <c r="E12" s="37"/>
      <c r="F12" s="73"/>
      <c r="G12" s="48"/>
      <c r="H12" s="48"/>
      <c r="I12" s="48"/>
      <c r="J12" s="151">
        <f t="shared" si="0"/>
        <v>0</v>
      </c>
      <c r="K12" s="152">
        <f t="shared" si="1"/>
        <v>0</v>
      </c>
      <c r="L12" s="32" t="b">
        <f>IF($E12="Longueur ",IF($D12="BeF",VLOOKUP($J12,BeF_Concours!$D$3:$J$52,7,TRUE),FALSE))</f>
        <v>0</v>
      </c>
      <c r="M12" s="4" t="b">
        <f>IF($E12="Triple saut ",IF($D12="BeF",VLOOKUP($J12,BeF_Concours!$E$3:$J$52,6,TRUE),FALSE))</f>
        <v>0</v>
      </c>
      <c r="N12" s="4" t="b">
        <f>IF($E12="Longueur ",IF($D12="BeM",VLOOKUP($J12,BeM_Concours!$D$3:$J$52,7,TRUE),FALSE))</f>
        <v>0</v>
      </c>
      <c r="O12" s="4" t="b">
        <f>IF($E12="Triple saut ",IF($D12="BeM",VLOOKUP($J12,BeM_Concours!$E$3:$J$52,6,TRUE),FALSE))</f>
        <v>0</v>
      </c>
      <c r="P12" s="4" t="b">
        <f>IF($E12="Longueur ",IF($D12="MiF",VLOOKUP($J12,MiF_Concours!$D$3:$J$52,7,TRUE),FALSE))</f>
        <v>0</v>
      </c>
      <c r="Q12" s="4" t="b">
        <f>IF($E12="Triple saut ",IF($D12="MiF",VLOOKUP($J12,MiF_Concours!$E$3:$J$52,6,TRUE),FALSE))</f>
        <v>0</v>
      </c>
      <c r="R12" s="4" t="b">
        <f>IF($E12="Longueur ",IF($D12="MiM",VLOOKUP($J12,MiM_Concours!$D$3:$J$52,7,TRUE),FALSE))</f>
        <v>0</v>
      </c>
      <c r="S12" s="4" t="b">
        <f>IF($E12="Triple saut ",IF($D12="MiM",VLOOKUP($J12,MiM_Concours!$E$3:$J$52,6,TRUE),FALSE))</f>
        <v>0</v>
      </c>
      <c r="T12" s="11"/>
    </row>
    <row r="13" spans="1:20" ht="15">
      <c r="A13" s="60"/>
      <c r="B13" s="46"/>
      <c r="C13" s="70"/>
      <c r="D13" s="47" t="s">
        <v>55</v>
      </c>
      <c r="E13" s="37"/>
      <c r="F13" s="73"/>
      <c r="G13" s="48"/>
      <c r="H13" s="48"/>
      <c r="I13" s="48"/>
      <c r="J13" s="151">
        <f t="shared" si="0"/>
        <v>0</v>
      </c>
      <c r="K13" s="152">
        <f t="shared" si="1"/>
        <v>0</v>
      </c>
      <c r="L13" s="32" t="b">
        <f>IF($E13="Longueur ",IF($D13="BeF",VLOOKUP($J13,BeF_Concours!$D$3:$J$52,7,TRUE),FALSE))</f>
        <v>0</v>
      </c>
      <c r="M13" s="4" t="b">
        <f>IF($E13="Triple saut ",IF($D13="BeF",VLOOKUP($J13,BeF_Concours!$E$3:$J$52,6,TRUE),FALSE))</f>
        <v>0</v>
      </c>
      <c r="N13" s="4" t="b">
        <f>IF($E13="Longueur ",IF($D13="BeM",VLOOKUP($J13,BeM_Concours!$D$3:$J$52,7,TRUE),FALSE))</f>
        <v>0</v>
      </c>
      <c r="O13" s="4" t="b">
        <f>IF($E13="Triple saut ",IF($D13="BeM",VLOOKUP($J13,BeM_Concours!$E$3:$J$52,6,TRUE),FALSE))</f>
        <v>0</v>
      </c>
      <c r="P13" s="4" t="b">
        <f>IF($E13="Longueur ",IF($D13="MiF",VLOOKUP($J13,MiF_Concours!$D$3:$J$52,7,TRUE),FALSE))</f>
        <v>0</v>
      </c>
      <c r="Q13" s="4" t="b">
        <f>IF($E13="Triple saut ",IF($D13="MiF",VLOOKUP($J13,MiF_Concours!$E$3:$J$52,6,TRUE),FALSE))</f>
        <v>0</v>
      </c>
      <c r="R13" s="4" t="b">
        <f>IF($E13="Longueur ",IF($D13="MiM",VLOOKUP($J13,MiM_Concours!$D$3:$J$52,7,TRUE),FALSE))</f>
        <v>0</v>
      </c>
      <c r="S13" s="4" t="b">
        <f>IF($E13="Triple saut ",IF($D13="MiM",VLOOKUP($J13,MiM_Concours!$E$3:$J$52,6,TRUE),FALSE))</f>
        <v>0</v>
      </c>
      <c r="T13" s="11"/>
    </row>
    <row r="14" spans="1:20" ht="15">
      <c r="A14" s="60"/>
      <c r="B14" s="46"/>
      <c r="C14" s="70"/>
      <c r="D14" s="47" t="s">
        <v>54</v>
      </c>
      <c r="E14" s="37"/>
      <c r="F14" s="73"/>
      <c r="G14" s="48"/>
      <c r="H14" s="48"/>
      <c r="I14" s="48"/>
      <c r="J14" s="151">
        <f t="shared" si="0"/>
        <v>0</v>
      </c>
      <c r="K14" s="152">
        <f t="shared" si="1"/>
        <v>0</v>
      </c>
      <c r="L14" s="32" t="b">
        <f>IF($E14="Longueur ",IF($D14="BeF",VLOOKUP($J14,BeF_Concours!$D$3:$J$52,7,TRUE),FALSE))</f>
        <v>0</v>
      </c>
      <c r="M14" s="4" t="b">
        <f>IF($E14="Triple saut ",IF($D14="BeF",VLOOKUP($J14,BeF_Concours!$E$3:$J$52,6,TRUE),FALSE))</f>
        <v>0</v>
      </c>
      <c r="N14" s="4" t="b">
        <f>IF($E14="Longueur ",IF($D14="BeM",VLOOKUP($J14,BeM_Concours!$D$3:$J$52,7,TRUE),FALSE))</f>
        <v>0</v>
      </c>
      <c r="O14" s="4" t="b">
        <f>IF($E14="Triple saut ",IF($D14="BeM",VLOOKUP($J14,BeM_Concours!$E$3:$J$52,6,TRUE),FALSE))</f>
        <v>0</v>
      </c>
      <c r="P14" s="4" t="b">
        <f>IF($E14="Longueur ",IF($D14="MiF",VLOOKUP($J14,MiF_Concours!$D$3:$J$52,7,TRUE),FALSE))</f>
        <v>0</v>
      </c>
      <c r="Q14" s="4" t="b">
        <f>IF($E14="Triple saut ",IF($D14="MiF",VLOOKUP($J14,MiF_Concours!$E$3:$J$52,6,TRUE),FALSE))</f>
        <v>0</v>
      </c>
      <c r="R14" s="4" t="b">
        <f>IF($E14="Longueur ",IF($D14="MiM",VLOOKUP($J14,MiM_Concours!$D$3:$J$52,7,TRUE),FALSE))</f>
        <v>0</v>
      </c>
      <c r="S14" s="4" t="b">
        <f>IF($E14="Triple saut ",IF($D14="MiM",VLOOKUP($J14,MiM_Concours!$E$3:$J$52,6,TRUE),FALSE))</f>
        <v>0</v>
      </c>
      <c r="T14" s="11"/>
    </row>
    <row r="15" spans="1:20" ht="15">
      <c r="A15" s="60"/>
      <c r="B15" s="46"/>
      <c r="C15" s="70"/>
      <c r="D15" s="47" t="s">
        <v>55</v>
      </c>
      <c r="E15" s="37"/>
      <c r="F15" s="73"/>
      <c r="G15" s="48"/>
      <c r="H15" s="48"/>
      <c r="I15" s="48"/>
      <c r="J15" s="151">
        <f t="shared" si="0"/>
        <v>0</v>
      </c>
      <c r="K15" s="152">
        <f t="shared" si="1"/>
        <v>0</v>
      </c>
      <c r="L15" s="32" t="b">
        <f>IF($E15="Longueur ",IF($D15="BeF",VLOOKUP($J15,BeF_Concours!$D$3:$J$52,7,TRUE),FALSE))</f>
        <v>0</v>
      </c>
      <c r="M15" s="4" t="b">
        <f>IF($E15="Triple saut ",IF($D15="BeF",VLOOKUP($J15,BeF_Concours!$E$3:$J$52,6,TRUE),FALSE))</f>
        <v>0</v>
      </c>
      <c r="N15" s="4" t="b">
        <f>IF($E15="Longueur ",IF($D15="BeM",VLOOKUP($J15,BeM_Concours!$D$3:$J$52,7,TRUE),FALSE))</f>
        <v>0</v>
      </c>
      <c r="O15" s="4" t="b">
        <f>IF($E15="Triple saut ",IF($D15="BeM",VLOOKUP($J15,BeM_Concours!$E$3:$J$52,6,TRUE),FALSE))</f>
        <v>0</v>
      </c>
      <c r="P15" s="4" t="b">
        <f>IF($E15="Longueur ",IF($D15="MiF",VLOOKUP($J15,MiF_Concours!$D$3:$J$52,7,TRUE),FALSE))</f>
        <v>0</v>
      </c>
      <c r="Q15" s="4" t="b">
        <f>IF($E15="Triple saut ",IF($D15="MiF",VLOOKUP($J15,MiF_Concours!$E$3:$J$52,6,TRUE),FALSE))</f>
        <v>0</v>
      </c>
      <c r="R15" s="4" t="b">
        <f>IF($E15="Longueur ",IF($D15="MiM",VLOOKUP($J15,MiM_Concours!$D$3:$J$52,7,TRUE),FALSE))</f>
        <v>0</v>
      </c>
      <c r="S15" s="4" t="b">
        <f>IF($E15="Triple saut ",IF($D15="MiM",VLOOKUP($J15,MiM_Concours!$E$3:$J$52,6,TRUE),FALSE))</f>
        <v>0</v>
      </c>
      <c r="T15" s="11"/>
    </row>
    <row r="16" spans="1:20" ht="15">
      <c r="A16" s="60"/>
      <c r="B16" s="46"/>
      <c r="C16" s="70"/>
      <c r="D16" s="67" t="s">
        <v>54</v>
      </c>
      <c r="E16" s="37"/>
      <c r="F16" s="73"/>
      <c r="G16" s="48"/>
      <c r="H16" s="48"/>
      <c r="I16" s="48"/>
      <c r="J16" s="151">
        <f t="shared" si="0"/>
        <v>0</v>
      </c>
      <c r="K16" s="152">
        <f t="shared" si="1"/>
        <v>0</v>
      </c>
      <c r="L16" s="32" t="b">
        <f>IF($E16="Longueur ",IF($D16="BeF",VLOOKUP($J16,BeF_Concours!$D$3:$J$52,7,TRUE),FALSE))</f>
        <v>0</v>
      </c>
      <c r="M16" s="4" t="b">
        <f>IF($E16="Triple saut ",IF($D16="BeF",VLOOKUP($J16,BeF_Concours!$E$3:$J$52,6,TRUE),FALSE))</f>
        <v>0</v>
      </c>
      <c r="N16" s="4" t="b">
        <f>IF($E16="Longueur ",IF($D16="BeM",VLOOKUP($J16,BeM_Concours!$D$3:$J$52,7,TRUE),FALSE))</f>
        <v>0</v>
      </c>
      <c r="O16" s="4" t="b">
        <f>IF($E16="Triple saut ",IF($D16="BeM",VLOOKUP($J16,BeM_Concours!$E$3:$J$52,6,TRUE),FALSE))</f>
        <v>0</v>
      </c>
      <c r="P16" s="4" t="b">
        <f>IF($E16="Longueur ",IF($D16="MiF",VLOOKUP($J16,MiF_Concours!$D$3:$J$52,7,TRUE),FALSE))</f>
        <v>0</v>
      </c>
      <c r="Q16" s="4" t="b">
        <f>IF($E16="Triple saut ",IF($D16="MiF",VLOOKUP($J16,MiF_Concours!$E$3:$J$52,6,TRUE),FALSE))</f>
        <v>0</v>
      </c>
      <c r="R16" s="4" t="b">
        <f>IF($E16="Longueur ",IF($D16="MiM",VLOOKUP($J16,MiM_Concours!$D$3:$J$52,7,TRUE),FALSE))</f>
        <v>0</v>
      </c>
      <c r="S16" s="4" t="b">
        <f>IF($E16="Triple saut ",IF($D16="MiM",VLOOKUP($J16,MiM_Concours!$E$3:$J$52,6,TRUE),FALSE))</f>
        <v>0</v>
      </c>
      <c r="T16" s="11"/>
    </row>
    <row r="17" spans="1:20" ht="15">
      <c r="A17" s="60"/>
      <c r="B17" s="46"/>
      <c r="C17" s="70"/>
      <c r="D17" s="67" t="s">
        <v>52</v>
      </c>
      <c r="E17" s="37"/>
      <c r="F17" s="73"/>
      <c r="G17" s="48"/>
      <c r="H17" s="48"/>
      <c r="I17" s="48"/>
      <c r="J17" s="151">
        <f t="shared" si="0"/>
        <v>0</v>
      </c>
      <c r="K17" s="152">
        <f t="shared" si="1"/>
        <v>0</v>
      </c>
      <c r="L17" s="32" t="b">
        <f>IF($E17="Longueur ",IF($D17="BeF",VLOOKUP($J17,BeF_Concours!$D$3:$J$52,7,TRUE),FALSE))</f>
        <v>0</v>
      </c>
      <c r="M17" s="4" t="b">
        <f>IF($E17="Triple saut ",IF($D17="BeF",VLOOKUP($J17,BeF_Concours!$E$3:$J$52,6,TRUE),FALSE))</f>
        <v>0</v>
      </c>
      <c r="N17" s="4" t="b">
        <f>IF($E17="Longueur ",IF($D17="BeM",VLOOKUP($J17,BeM_Concours!$D$3:$J$52,7,TRUE),FALSE))</f>
        <v>0</v>
      </c>
      <c r="O17" s="4" t="b">
        <f>IF($E17="Triple saut ",IF($D17="BeM",VLOOKUP($J17,BeM_Concours!$E$3:$J$52,6,TRUE),FALSE))</f>
        <v>0</v>
      </c>
      <c r="P17" s="4" t="b">
        <f>IF($E17="Longueur ",IF($D17="MiF",VLOOKUP($J17,MiF_Concours!$D$3:$J$52,7,TRUE),FALSE))</f>
        <v>0</v>
      </c>
      <c r="Q17" s="4" t="b">
        <f>IF($E17="Triple saut ",IF($D17="MiF",VLOOKUP($J17,MiF_Concours!$E$3:$J$52,6,TRUE),FALSE))</f>
        <v>0</v>
      </c>
      <c r="R17" s="4" t="b">
        <f>IF($E17="Longueur ",IF($D17="MiM",VLOOKUP($J17,MiM_Concours!$D$3:$J$52,7,TRUE),FALSE))</f>
        <v>0</v>
      </c>
      <c r="S17" s="4" t="b">
        <f>IF($E17="Triple saut ",IF($D17="MiM",VLOOKUP($J17,MiM_Concours!$E$3:$J$52,6,TRUE),FALSE))</f>
        <v>0</v>
      </c>
      <c r="T17" s="11"/>
    </row>
    <row r="18" spans="1:20" ht="15">
      <c r="A18" s="60"/>
      <c r="B18" s="46"/>
      <c r="C18" s="70"/>
      <c r="D18" s="67" t="s">
        <v>52</v>
      </c>
      <c r="E18" s="37"/>
      <c r="F18" s="73"/>
      <c r="G18" s="48"/>
      <c r="H18" s="48"/>
      <c r="I18" s="48"/>
      <c r="J18" s="151">
        <f t="shared" si="0"/>
        <v>0</v>
      </c>
      <c r="K18" s="152">
        <f t="shared" si="1"/>
        <v>0</v>
      </c>
      <c r="L18" s="32" t="b">
        <f>IF($E18="Longueur ",IF($D18="BeF",VLOOKUP($J18,BeF_Concours!$D$3:$J$52,7,TRUE),FALSE))</f>
        <v>0</v>
      </c>
      <c r="M18" s="4" t="b">
        <f>IF($E18="Triple saut ",IF($D18="BeF",VLOOKUP($J18,BeF_Concours!$E$3:$J$52,6,TRUE),FALSE))</f>
        <v>0</v>
      </c>
      <c r="N18" s="4" t="b">
        <f>IF($E18="Longueur ",IF($D18="BeM",VLOOKUP($J18,BeM_Concours!$D$3:$J$52,7,TRUE),FALSE))</f>
        <v>0</v>
      </c>
      <c r="O18" s="4" t="b">
        <f>IF($E18="Triple saut ",IF($D18="BeM",VLOOKUP($J18,BeM_Concours!$E$3:$J$52,6,TRUE),FALSE))</f>
        <v>0</v>
      </c>
      <c r="P18" s="4" t="b">
        <f>IF($E18="Longueur ",IF($D18="MiF",VLOOKUP($J18,MiF_Concours!$D$3:$J$52,7,TRUE),FALSE))</f>
        <v>0</v>
      </c>
      <c r="Q18" s="4" t="b">
        <f>IF($E18="Triple saut ",IF($D18="MiF",VLOOKUP($J18,MiF_Concours!$E$3:$J$52,6,TRUE),FALSE))</f>
        <v>0</v>
      </c>
      <c r="R18" s="4" t="b">
        <f>IF($E18="Longueur ",IF($D18="MiM",VLOOKUP($J18,MiM_Concours!$D$3:$J$52,7,TRUE),FALSE))</f>
        <v>0</v>
      </c>
      <c r="S18" s="4" t="b">
        <f>IF($E18="Triple saut ",IF($D18="MiM",VLOOKUP($J18,MiM_Concours!$E$3:$J$52,6,TRUE),FALSE))</f>
        <v>0</v>
      </c>
      <c r="T18" s="11"/>
    </row>
    <row r="19" spans="1:20" ht="15">
      <c r="A19" s="60"/>
      <c r="B19" s="46"/>
      <c r="C19" s="70"/>
      <c r="D19" s="67" t="s">
        <v>52</v>
      </c>
      <c r="E19" s="37"/>
      <c r="F19" s="73"/>
      <c r="G19" s="48"/>
      <c r="H19" s="48"/>
      <c r="I19" s="48"/>
      <c r="J19" s="151">
        <f t="shared" si="0"/>
        <v>0</v>
      </c>
      <c r="K19" s="152">
        <f t="shared" si="1"/>
        <v>0</v>
      </c>
      <c r="L19" s="32" t="b">
        <f>IF($E19="Longueur ",IF($D19="BeF",VLOOKUP($J19,BeF_Concours!$D$3:$J$52,7,TRUE),FALSE))</f>
        <v>0</v>
      </c>
      <c r="M19" s="4" t="b">
        <f>IF($E19="Triple saut ",IF($D19="BeF",VLOOKUP($J19,BeF_Concours!$E$3:$J$52,6,TRUE),FALSE))</f>
        <v>0</v>
      </c>
      <c r="N19" s="4" t="b">
        <f>IF($E19="Longueur ",IF($D19="BeM",VLOOKUP($J19,BeM_Concours!$D$3:$J$52,7,TRUE),FALSE))</f>
        <v>0</v>
      </c>
      <c r="O19" s="4" t="b">
        <f>IF($E19="Triple saut ",IF($D19="BeM",VLOOKUP($J19,BeM_Concours!$E$3:$J$52,6,TRUE),FALSE))</f>
        <v>0</v>
      </c>
      <c r="P19" s="4" t="b">
        <f>IF($E19="Longueur ",IF($D19="MiF",VLOOKUP($J19,MiF_Concours!$D$3:$J$52,7,TRUE),FALSE))</f>
        <v>0</v>
      </c>
      <c r="Q19" s="4" t="b">
        <f>IF($E19="Triple saut ",IF($D19="MiF",VLOOKUP($J19,MiF_Concours!$E$3:$J$52,6,TRUE),FALSE))</f>
        <v>0</v>
      </c>
      <c r="R19" s="4" t="b">
        <f>IF($E19="Longueur ",IF($D19="MiM",VLOOKUP($J19,MiM_Concours!$D$3:$J$52,7,TRUE),FALSE))</f>
        <v>0</v>
      </c>
      <c r="S19" s="4" t="b">
        <f>IF($E19="Triple saut ",IF($D19="MiM",VLOOKUP($J19,MiM_Concours!$E$3:$J$52,6,TRUE),FALSE))</f>
        <v>0</v>
      </c>
      <c r="T19" s="11"/>
    </row>
    <row r="20" spans="1:20" ht="15">
      <c r="A20" s="60"/>
      <c r="B20" s="46"/>
      <c r="C20" s="70"/>
      <c r="D20" s="67" t="s">
        <v>52</v>
      </c>
      <c r="E20" s="37"/>
      <c r="F20" s="73"/>
      <c r="G20" s="48"/>
      <c r="H20" s="48"/>
      <c r="I20" s="48"/>
      <c r="J20" s="151">
        <f t="shared" si="0"/>
        <v>0</v>
      </c>
      <c r="K20" s="152">
        <f t="shared" si="1"/>
        <v>0</v>
      </c>
      <c r="L20" s="32" t="b">
        <f>IF($E20="Longueur ",IF($D20="BeF",VLOOKUP($J20,BeF_Concours!$D$3:$J$52,7,TRUE),FALSE))</f>
        <v>0</v>
      </c>
      <c r="M20" s="4" t="b">
        <f>IF($E20="Triple saut ",IF($D20="BeF",VLOOKUP($J20,BeF_Concours!$E$3:$J$52,6,TRUE),FALSE))</f>
        <v>0</v>
      </c>
      <c r="N20" s="4" t="b">
        <f>IF($E20="Longueur ",IF($D20="BeM",VLOOKUP($J20,BeM_Concours!$D$3:$J$52,7,TRUE),FALSE))</f>
        <v>0</v>
      </c>
      <c r="O20" s="4" t="b">
        <f>IF($E20="Triple saut ",IF($D20="BeM",VLOOKUP($J20,BeM_Concours!$E$3:$J$52,6,TRUE),FALSE))</f>
        <v>0</v>
      </c>
      <c r="P20" s="4" t="b">
        <f>IF($E20="Longueur ",IF($D20="MiF",VLOOKUP($J20,MiF_Concours!$D$3:$J$52,7,TRUE),FALSE))</f>
        <v>0</v>
      </c>
      <c r="Q20" s="4" t="b">
        <f>IF($E20="Triple saut ",IF($D20="MiF",VLOOKUP($J20,MiF_Concours!$E$3:$J$52,6,TRUE),FALSE))</f>
        <v>0</v>
      </c>
      <c r="R20" s="4" t="b">
        <f>IF($E20="Longueur ",IF($D20="MiM",VLOOKUP($J20,MiM_Concours!$D$3:$J$52,7,TRUE),FALSE))</f>
        <v>0</v>
      </c>
      <c r="S20" s="4" t="b">
        <f>IF($E20="Triple saut ",IF($D20="MiM",VLOOKUP($J20,MiM_Concours!$E$3:$J$52,6,TRUE),FALSE))</f>
        <v>0</v>
      </c>
      <c r="T20" s="11"/>
    </row>
    <row r="21" spans="1:20" ht="15">
      <c r="A21" s="60"/>
      <c r="B21" s="46"/>
      <c r="C21" s="70"/>
      <c r="D21" s="67" t="s">
        <v>52</v>
      </c>
      <c r="E21" s="37"/>
      <c r="F21" s="73"/>
      <c r="G21" s="48"/>
      <c r="H21" s="48"/>
      <c r="I21" s="48"/>
      <c r="J21" s="151">
        <f t="shared" si="0"/>
        <v>0</v>
      </c>
      <c r="K21" s="152">
        <f t="shared" si="1"/>
        <v>0</v>
      </c>
      <c r="L21" s="32" t="b">
        <f>IF($E21="Longueur ",IF($D21="BeF",VLOOKUP($J21,BeF_Concours!$D$3:$J$52,7,TRUE),FALSE))</f>
        <v>0</v>
      </c>
      <c r="M21" s="4" t="b">
        <f>IF($E21="Triple saut ",IF($D21="BeF",VLOOKUP($J21,BeF_Concours!$E$3:$J$52,6,TRUE),FALSE))</f>
        <v>0</v>
      </c>
      <c r="N21" s="4" t="b">
        <f>IF($E21="Longueur ",IF($D21="BeM",VLOOKUP($J21,BeM_Concours!$D$3:$J$52,7,TRUE),FALSE))</f>
        <v>0</v>
      </c>
      <c r="O21" s="4" t="b">
        <f>IF($E21="Triple saut ",IF($D21="BeM",VLOOKUP($J21,BeM_Concours!$E$3:$J$52,6,TRUE),FALSE))</f>
        <v>0</v>
      </c>
      <c r="P21" s="4" t="b">
        <f>IF($E21="Longueur ",IF($D21="MiF",VLOOKUP($J21,MiF_Concours!$D$3:$J$52,7,TRUE),FALSE))</f>
        <v>0</v>
      </c>
      <c r="Q21" s="4" t="b">
        <f>IF($E21="Triple saut ",IF($D21="MiF",VLOOKUP($J21,MiF_Concours!$E$3:$J$52,6,TRUE),FALSE))</f>
        <v>0</v>
      </c>
      <c r="R21" s="4" t="b">
        <f>IF($E21="Longueur ",IF($D21="MiM",VLOOKUP($J21,MiM_Concours!$D$3:$J$52,7,TRUE),FALSE))</f>
        <v>0</v>
      </c>
      <c r="S21" s="4" t="b">
        <f>IF($E21="Triple saut ",IF($D21="MiM",VLOOKUP($J21,MiM_Concours!$E$3:$J$52,6,TRUE),FALSE))</f>
        <v>0</v>
      </c>
      <c r="T21" s="11"/>
    </row>
    <row r="22" spans="1:20" ht="15">
      <c r="A22" s="60"/>
      <c r="B22" s="46"/>
      <c r="C22" s="70"/>
      <c r="D22" s="67" t="s">
        <v>52</v>
      </c>
      <c r="E22" s="37"/>
      <c r="F22" s="73"/>
      <c r="G22" s="48"/>
      <c r="H22" s="48"/>
      <c r="I22" s="48"/>
      <c r="J22" s="151">
        <f t="shared" si="0"/>
        <v>0</v>
      </c>
      <c r="K22" s="152">
        <f t="shared" si="1"/>
        <v>0</v>
      </c>
      <c r="L22" s="32" t="b">
        <f>IF($E22="Longueur ",IF($D22="BeF",VLOOKUP($J22,BeF_Concours!$D$3:$J$52,7,TRUE),FALSE))</f>
        <v>0</v>
      </c>
      <c r="M22" s="4" t="b">
        <f>IF($E22="Triple saut ",IF($D22="BeF",VLOOKUP($J22,BeF_Concours!$E$3:$J$52,6,TRUE),FALSE))</f>
        <v>0</v>
      </c>
      <c r="N22" s="4" t="b">
        <f>IF($E22="Longueur ",IF($D22="BeM",VLOOKUP($J22,BeM_Concours!$D$3:$J$52,7,TRUE),FALSE))</f>
        <v>0</v>
      </c>
      <c r="O22" s="4" t="b">
        <f>IF($E22="Triple saut ",IF($D22="BeM",VLOOKUP($J22,BeM_Concours!$E$3:$J$52,6,TRUE),FALSE))</f>
        <v>0</v>
      </c>
      <c r="P22" s="4" t="b">
        <f>IF($E22="Longueur ",IF($D22="MiF",VLOOKUP($J22,MiF_Concours!$D$3:$J$52,7,TRUE),FALSE))</f>
        <v>0</v>
      </c>
      <c r="Q22" s="4" t="b">
        <f>IF($E22="Triple saut ",IF($D22="MiF",VLOOKUP($J22,MiF_Concours!$E$3:$J$52,6,TRUE),FALSE))</f>
        <v>0</v>
      </c>
      <c r="R22" s="4" t="b">
        <f>IF($E22="Longueur ",IF($D22="MiM",VLOOKUP($J22,MiM_Concours!$D$3:$J$52,7,TRUE),FALSE))</f>
        <v>0</v>
      </c>
      <c r="S22" s="4" t="b">
        <f>IF($E22="Triple saut ",IF($D22="MiM",VLOOKUP($J22,MiM_Concours!$E$3:$J$52,6,TRUE),FALSE))</f>
        <v>0</v>
      </c>
      <c r="T22" s="11"/>
    </row>
    <row r="23" spans="1:20" ht="15">
      <c r="A23" s="60"/>
      <c r="B23" s="46"/>
      <c r="C23" s="70"/>
      <c r="D23" s="67" t="s">
        <v>52</v>
      </c>
      <c r="E23" s="37"/>
      <c r="F23" s="73"/>
      <c r="G23" s="48"/>
      <c r="H23" s="48"/>
      <c r="I23" s="48"/>
      <c r="J23" s="151">
        <f t="shared" si="0"/>
        <v>0</v>
      </c>
      <c r="K23" s="152">
        <f t="shared" si="1"/>
        <v>0</v>
      </c>
      <c r="L23" s="32" t="b">
        <f>IF($E23="Longueur ",IF($D23="BeF",VLOOKUP($J23,BeF_Concours!$D$3:$J$52,7,TRUE),FALSE))</f>
        <v>0</v>
      </c>
      <c r="M23" s="4" t="b">
        <f>IF($E23="Triple saut ",IF($D23="BeF",VLOOKUP($J23,BeF_Concours!$E$3:$J$52,6,TRUE),FALSE))</f>
        <v>0</v>
      </c>
      <c r="N23" s="4" t="b">
        <f>IF($E23="Longueur ",IF($D23="BeM",VLOOKUP($J23,BeM_Concours!$D$3:$J$52,7,TRUE),FALSE))</f>
        <v>0</v>
      </c>
      <c r="O23" s="4" t="b">
        <f>IF($E23="Triple saut ",IF($D23="BeM",VLOOKUP($J23,BeM_Concours!$E$3:$J$52,6,TRUE),FALSE))</f>
        <v>0</v>
      </c>
      <c r="P23" s="4" t="b">
        <f>IF($E23="Longueur ",IF($D23="MiF",VLOOKUP($J23,MiF_Concours!$D$3:$J$52,7,TRUE),FALSE))</f>
        <v>0</v>
      </c>
      <c r="Q23" s="4" t="b">
        <f>IF($E23="Triple saut ",IF($D23="MiF",VLOOKUP($J23,MiF_Concours!$E$3:$J$52,6,TRUE),FALSE))</f>
        <v>0</v>
      </c>
      <c r="R23" s="4" t="b">
        <f>IF($E23="Longueur ",IF($D23="MiM",VLOOKUP($J23,MiM_Concours!$D$3:$J$52,7,TRUE),FALSE))</f>
        <v>0</v>
      </c>
      <c r="S23" s="4" t="b">
        <f>IF($E23="Triple saut ",IF($D23="MiM",VLOOKUP($J23,MiM_Concours!$E$3:$J$52,6,TRUE),FALSE))</f>
        <v>0</v>
      </c>
      <c r="T23" s="11"/>
    </row>
    <row r="24" spans="1:20" ht="15">
      <c r="A24" s="60"/>
      <c r="B24" s="46"/>
      <c r="C24" s="70"/>
      <c r="D24" s="67" t="s">
        <v>52</v>
      </c>
      <c r="E24" s="37"/>
      <c r="F24" s="73"/>
      <c r="G24" s="48"/>
      <c r="H24" s="48"/>
      <c r="I24" s="48"/>
      <c r="J24" s="151">
        <f t="shared" si="0"/>
        <v>0</v>
      </c>
      <c r="K24" s="152">
        <f t="shared" si="1"/>
        <v>0</v>
      </c>
      <c r="L24" s="32" t="b">
        <f>IF($E24="Longueur ",IF($D24="BeF",VLOOKUP($J24,BeF_Concours!$D$3:$J$52,7,TRUE),FALSE))</f>
        <v>0</v>
      </c>
      <c r="M24" s="4" t="b">
        <f>IF($E24="Triple saut ",IF($D24="BeF",VLOOKUP($J24,BeF_Concours!$E$3:$J$52,6,TRUE),FALSE))</f>
        <v>0</v>
      </c>
      <c r="N24" s="4" t="b">
        <f>IF($E24="Longueur ",IF($D24="BeM",VLOOKUP($J24,BeM_Concours!$D$3:$J$52,7,TRUE),FALSE))</f>
        <v>0</v>
      </c>
      <c r="O24" s="4" t="b">
        <f>IF($E24="Triple saut ",IF($D24="BeM",VLOOKUP($J24,BeM_Concours!$E$3:$J$52,6,TRUE),FALSE))</f>
        <v>0</v>
      </c>
      <c r="P24" s="4" t="b">
        <f>IF($E24="Longueur ",IF($D24="MiF",VLOOKUP($J24,MiF_Concours!$D$3:$J$52,7,TRUE),FALSE))</f>
        <v>0</v>
      </c>
      <c r="Q24" s="4" t="b">
        <f>IF($E24="Triple saut ",IF($D24="MiF",VLOOKUP($J24,MiF_Concours!$E$3:$J$52,6,TRUE),FALSE))</f>
        <v>0</v>
      </c>
      <c r="R24" s="4" t="b">
        <f>IF($E24="Longueur ",IF($D24="MiM",VLOOKUP($J24,MiM_Concours!$D$3:$J$52,7,TRUE),FALSE))</f>
        <v>0</v>
      </c>
      <c r="S24" s="4" t="b">
        <f>IF($E24="Triple saut ",IF($D24="MiM",VLOOKUP($J24,MiM_Concours!$E$3:$J$52,6,TRUE),FALSE))</f>
        <v>0</v>
      </c>
      <c r="T24" s="11"/>
    </row>
    <row r="25" spans="1:20" ht="15">
      <c r="A25" s="60"/>
      <c r="B25" s="46"/>
      <c r="C25" s="70"/>
      <c r="D25" s="67" t="s">
        <v>52</v>
      </c>
      <c r="E25" s="37"/>
      <c r="F25" s="73"/>
      <c r="G25" s="48"/>
      <c r="H25" s="48"/>
      <c r="I25" s="48"/>
      <c r="J25" s="151">
        <f t="shared" si="0"/>
        <v>0</v>
      </c>
      <c r="K25" s="152">
        <f t="shared" si="1"/>
        <v>0</v>
      </c>
      <c r="L25" s="32" t="b">
        <f>IF($E25="Longueur ",IF($D25="BeF",VLOOKUP($J25,BeF_Concours!$D$3:$J$52,7,TRUE),FALSE))</f>
        <v>0</v>
      </c>
      <c r="M25" s="4" t="b">
        <f>IF($E25="Triple saut ",IF($D25="BeF",VLOOKUP($J25,BeF_Concours!$E$3:$J$52,6,TRUE),FALSE))</f>
        <v>0</v>
      </c>
      <c r="N25" s="4" t="b">
        <f>IF($E25="Longueur ",IF($D25="BeM",VLOOKUP($J25,BeM_Concours!$D$3:$J$52,7,TRUE),FALSE))</f>
        <v>0</v>
      </c>
      <c r="O25" s="4" t="b">
        <f>IF($E25="Triple saut ",IF($D25="BeM",VLOOKUP($J25,BeM_Concours!$E$3:$J$52,6,TRUE),FALSE))</f>
        <v>0</v>
      </c>
      <c r="P25" s="4" t="b">
        <f>IF($E25="Longueur ",IF($D25="MiF",VLOOKUP($J25,MiF_Concours!$D$3:$J$52,7,TRUE),FALSE))</f>
        <v>0</v>
      </c>
      <c r="Q25" s="4" t="b">
        <f>IF($E25="Triple saut ",IF($D25="MiF",VLOOKUP($J25,MiF_Concours!$E$3:$J$52,6,TRUE),FALSE))</f>
        <v>0</v>
      </c>
      <c r="R25" s="4" t="b">
        <f>IF($E25="Longueur ",IF($D25="MiM",VLOOKUP($J25,MiM_Concours!$D$3:$J$52,7,TRUE),FALSE))</f>
        <v>0</v>
      </c>
      <c r="S25" s="4" t="b">
        <f>IF($E25="Triple saut ",IF($D25="MiM",VLOOKUP($J25,MiM_Concours!$E$3:$J$52,6,TRUE),FALSE))</f>
        <v>0</v>
      </c>
      <c r="T25" s="11"/>
    </row>
    <row r="26" spans="1:20" ht="15">
      <c r="A26" s="60"/>
      <c r="B26" s="46"/>
      <c r="C26" s="70"/>
      <c r="D26" s="67" t="s">
        <v>52</v>
      </c>
      <c r="E26" s="37"/>
      <c r="F26" s="73"/>
      <c r="G26" s="48"/>
      <c r="H26" s="48"/>
      <c r="I26" s="48"/>
      <c r="J26" s="151">
        <f t="shared" si="0"/>
        <v>0</v>
      </c>
      <c r="K26" s="152">
        <f t="shared" si="1"/>
        <v>0</v>
      </c>
      <c r="L26" s="32" t="b">
        <f>IF($E26="Longueur ",IF($D26="BeF",VLOOKUP($J26,BeF_Concours!$D$3:$J$52,7,TRUE),FALSE))</f>
        <v>0</v>
      </c>
      <c r="M26" s="4" t="b">
        <f>IF($E26="Triple saut ",IF($D26="BeF",VLOOKUP($J26,BeF_Concours!$E$3:$J$52,6,TRUE),FALSE))</f>
        <v>0</v>
      </c>
      <c r="N26" s="4" t="b">
        <f>IF($E26="Longueur ",IF($D26="BeM",VLOOKUP($J26,BeM_Concours!$D$3:$J$52,7,TRUE),FALSE))</f>
        <v>0</v>
      </c>
      <c r="O26" s="4" t="b">
        <f>IF($E26="Triple saut ",IF($D26="BeM",VLOOKUP($J26,BeM_Concours!$E$3:$J$52,6,TRUE),FALSE))</f>
        <v>0</v>
      </c>
      <c r="P26" s="4" t="b">
        <f>IF($E26="Longueur ",IF($D26="MiF",VLOOKUP($J26,MiF_Concours!$D$3:$J$52,7,TRUE),FALSE))</f>
        <v>0</v>
      </c>
      <c r="Q26" s="4" t="b">
        <f>IF($E26="Triple saut ",IF($D26="MiF",VLOOKUP($J26,MiF_Concours!$E$3:$J$52,6,TRUE),FALSE))</f>
        <v>0</v>
      </c>
      <c r="R26" s="4" t="b">
        <f>IF($E26="Longueur ",IF($D26="MiM",VLOOKUP($J26,MiM_Concours!$D$3:$J$52,7,TRUE),FALSE))</f>
        <v>0</v>
      </c>
      <c r="S26" s="4" t="b">
        <f>IF($E26="Triple saut ",IF($D26="MiM",VLOOKUP($J26,MiM_Concours!$E$3:$J$52,6,TRUE),FALSE))</f>
        <v>0</v>
      </c>
      <c r="T26" s="11"/>
    </row>
    <row r="27" spans="1:20" ht="15">
      <c r="A27" s="60"/>
      <c r="B27" s="46"/>
      <c r="C27" s="70"/>
      <c r="D27" s="67" t="s">
        <v>52</v>
      </c>
      <c r="E27" s="37"/>
      <c r="F27" s="73"/>
      <c r="G27" s="48"/>
      <c r="H27" s="48"/>
      <c r="I27" s="48"/>
      <c r="J27" s="151">
        <f t="shared" si="0"/>
        <v>0</v>
      </c>
      <c r="K27" s="152">
        <f t="shared" si="1"/>
        <v>0</v>
      </c>
      <c r="L27" s="32" t="b">
        <f>IF($E27="Longueur ",IF($D27="BeF",VLOOKUP($J27,BeF_Concours!$D$3:$J$52,7,TRUE),FALSE))</f>
        <v>0</v>
      </c>
      <c r="M27" s="4" t="b">
        <f>IF($E27="Triple saut ",IF($D27="BeF",VLOOKUP($J27,BeF_Concours!$E$3:$J$52,6,TRUE),FALSE))</f>
        <v>0</v>
      </c>
      <c r="N27" s="4" t="b">
        <f>IF($E27="Longueur ",IF($D27="BeM",VLOOKUP($J27,BeM_Concours!$D$3:$J$52,7,TRUE),FALSE))</f>
        <v>0</v>
      </c>
      <c r="O27" s="4" t="b">
        <f>IF($E27="Triple saut ",IF($D27="BeM",VLOOKUP($J27,BeM_Concours!$E$3:$J$52,6,TRUE),FALSE))</f>
        <v>0</v>
      </c>
      <c r="P27" s="4" t="b">
        <f>IF($E27="Longueur ",IF($D27="MiF",VLOOKUP($J27,MiF_Concours!$D$3:$J$52,7,TRUE),FALSE))</f>
        <v>0</v>
      </c>
      <c r="Q27" s="4" t="b">
        <f>IF($E27="Triple saut ",IF($D27="MiF",VLOOKUP($J27,MiF_Concours!$E$3:$J$52,6,TRUE),FALSE))</f>
        <v>0</v>
      </c>
      <c r="R27" s="4" t="b">
        <f>IF($E27="Longueur ",IF($D27="MiM",VLOOKUP($J27,MiM_Concours!$D$3:$J$52,7,TRUE),FALSE))</f>
        <v>0</v>
      </c>
      <c r="S27" s="4" t="b">
        <f>IF($E27="Triple saut ",IF($D27="MiM",VLOOKUP($J27,MiM_Concours!$E$3:$J$52,6,TRUE),FALSE))</f>
        <v>0</v>
      </c>
      <c r="T27" s="11"/>
    </row>
    <row r="28" spans="1:20" ht="15">
      <c r="A28" s="60"/>
      <c r="B28" s="46"/>
      <c r="C28" s="70"/>
      <c r="D28" s="67" t="s">
        <v>52</v>
      </c>
      <c r="E28" s="37"/>
      <c r="F28" s="73"/>
      <c r="G28" s="48"/>
      <c r="H28" s="48"/>
      <c r="I28" s="48"/>
      <c r="J28" s="151">
        <f t="shared" si="0"/>
        <v>0</v>
      </c>
      <c r="K28" s="152">
        <f t="shared" si="1"/>
        <v>0</v>
      </c>
      <c r="L28" s="32" t="b">
        <f>IF($E28="Longueur ",IF($D28="BeF",VLOOKUP($J28,BeF_Concours!$D$3:$J$52,7,TRUE),FALSE))</f>
        <v>0</v>
      </c>
      <c r="M28" s="4" t="b">
        <f>IF($E28="Triple saut ",IF($D28="BeF",VLOOKUP($J28,BeF_Concours!$E$3:$J$52,6,TRUE),FALSE))</f>
        <v>0</v>
      </c>
      <c r="N28" s="4" t="b">
        <f>IF($E28="Longueur ",IF($D28="BeM",VLOOKUP($J28,BeM_Concours!$D$3:$J$52,7,TRUE),FALSE))</f>
        <v>0</v>
      </c>
      <c r="O28" s="4" t="b">
        <f>IF($E28="Triple saut ",IF($D28="BeM",VLOOKUP($J28,BeM_Concours!$E$3:$J$52,6,TRUE),FALSE))</f>
        <v>0</v>
      </c>
      <c r="P28" s="4" t="b">
        <f>IF($E28="Longueur ",IF($D28="MiF",VLOOKUP($J28,MiF_Concours!$D$3:$J$52,7,TRUE),FALSE))</f>
        <v>0</v>
      </c>
      <c r="Q28" s="4" t="b">
        <f>IF($E28="Triple saut ",IF($D28="MiF",VLOOKUP($J28,MiF_Concours!$E$3:$J$52,6,TRUE),FALSE))</f>
        <v>0</v>
      </c>
      <c r="R28" s="4" t="b">
        <f>IF($E28="Longueur ",IF($D28="MiM",VLOOKUP($J28,MiM_Concours!$D$3:$J$52,7,TRUE),FALSE))</f>
        <v>0</v>
      </c>
      <c r="S28" s="4" t="b">
        <f>IF($E28="Triple saut ",IF($D28="MiM",VLOOKUP($J28,MiM_Concours!$E$3:$J$52,6,TRUE),FALSE))</f>
        <v>0</v>
      </c>
      <c r="T28" s="11"/>
    </row>
    <row r="29" spans="1:20" ht="15">
      <c r="A29" s="60"/>
      <c r="B29" s="46"/>
      <c r="C29" s="70"/>
      <c r="D29" s="67" t="s">
        <v>52</v>
      </c>
      <c r="E29" s="37"/>
      <c r="F29" s="73"/>
      <c r="G29" s="48"/>
      <c r="H29" s="48"/>
      <c r="I29" s="48"/>
      <c r="J29" s="151">
        <f t="shared" si="0"/>
        <v>0</v>
      </c>
      <c r="K29" s="152">
        <f t="shared" si="1"/>
        <v>0</v>
      </c>
      <c r="L29" s="32" t="b">
        <f>IF($E29="Longueur ",IF($D29="BeF",VLOOKUP($J29,BeF_Concours!$D$3:$J$52,7,TRUE),FALSE))</f>
        <v>0</v>
      </c>
      <c r="M29" s="4" t="b">
        <f>IF($E29="Triple saut ",IF($D29="BeF",VLOOKUP($J29,BeF_Concours!$E$3:$J$52,6,TRUE),FALSE))</f>
        <v>0</v>
      </c>
      <c r="N29" s="4" t="b">
        <f>IF($E29="Longueur ",IF($D29="BeM",VLOOKUP($J29,BeM_Concours!$D$3:$J$52,7,TRUE),FALSE))</f>
        <v>0</v>
      </c>
      <c r="O29" s="4" t="b">
        <f>IF($E29="Triple saut ",IF($D29="BeM",VLOOKUP($J29,BeM_Concours!$E$3:$J$52,6,TRUE),FALSE))</f>
        <v>0</v>
      </c>
      <c r="P29" s="4" t="b">
        <f>IF($E29="Longueur ",IF($D29="MiF",VLOOKUP($J29,MiF_Concours!$D$3:$J$52,7,TRUE),FALSE))</f>
        <v>0</v>
      </c>
      <c r="Q29" s="4" t="b">
        <f>IF($E29="Triple saut ",IF($D29="MiF",VLOOKUP($J29,MiF_Concours!$E$3:$J$52,6,TRUE),FALSE))</f>
        <v>0</v>
      </c>
      <c r="R29" s="4" t="b">
        <f>IF($E29="Longueur ",IF($D29="MiM",VLOOKUP($J29,MiM_Concours!$D$3:$J$52,7,TRUE),FALSE))</f>
        <v>0</v>
      </c>
      <c r="S29" s="4" t="b">
        <f>IF($E29="Triple saut ",IF($D29="MiM",VLOOKUP($J29,MiM_Concours!$E$3:$J$52,6,TRUE),FALSE))</f>
        <v>0</v>
      </c>
      <c r="T29" s="11"/>
    </row>
    <row r="30" spans="1:20" ht="15">
      <c r="A30" s="60"/>
      <c r="B30" s="46"/>
      <c r="C30" s="70"/>
      <c r="D30" s="67" t="s">
        <v>52</v>
      </c>
      <c r="E30" s="37"/>
      <c r="F30" s="73"/>
      <c r="G30" s="48"/>
      <c r="H30" s="48"/>
      <c r="I30" s="48"/>
      <c r="J30" s="151">
        <f t="shared" si="0"/>
        <v>0</v>
      </c>
      <c r="K30" s="152">
        <f t="shared" si="1"/>
        <v>0</v>
      </c>
      <c r="L30" s="32" t="b">
        <f>IF($E30="Longueur ",IF($D30="BeF",VLOOKUP($J30,BeF_Concours!$D$3:$J$52,7,TRUE),FALSE))</f>
        <v>0</v>
      </c>
      <c r="M30" s="4" t="b">
        <f>IF($E30="Triple saut ",IF($D30="BeF",VLOOKUP($J30,BeF_Concours!$E$3:$J$52,6,TRUE),FALSE))</f>
        <v>0</v>
      </c>
      <c r="N30" s="4" t="b">
        <f>IF($E30="Longueur ",IF($D30="BeM",VLOOKUP($J30,BeM_Concours!$D$3:$J$52,7,TRUE),FALSE))</f>
        <v>0</v>
      </c>
      <c r="O30" s="4" t="b">
        <f>IF($E30="Triple saut ",IF($D30="BeM",VLOOKUP($J30,BeM_Concours!$E$3:$J$52,6,TRUE),FALSE))</f>
        <v>0</v>
      </c>
      <c r="P30" s="4" t="b">
        <f>IF($E30="Longueur ",IF($D30="MiF",VLOOKUP($J30,MiF_Concours!$D$3:$J$52,7,TRUE),FALSE))</f>
        <v>0</v>
      </c>
      <c r="Q30" s="4" t="b">
        <f>IF($E30="Triple saut ",IF($D30="MiF",VLOOKUP($J30,MiF_Concours!$E$3:$J$52,6,TRUE),FALSE))</f>
        <v>0</v>
      </c>
      <c r="R30" s="4" t="b">
        <f>IF($E30="Longueur ",IF($D30="MiM",VLOOKUP($J30,MiM_Concours!$D$3:$J$52,7,TRUE),FALSE))</f>
        <v>0</v>
      </c>
      <c r="S30" s="4" t="b">
        <f>IF($E30="Triple saut ",IF($D30="MiM",VLOOKUP($J30,MiM_Concours!$E$3:$J$52,6,TRUE),FALSE))</f>
        <v>0</v>
      </c>
      <c r="T30" s="11"/>
    </row>
    <row r="31" spans="1:20" ht="15">
      <c r="A31" s="60"/>
      <c r="B31" s="46"/>
      <c r="C31" s="70"/>
      <c r="D31" s="67" t="s">
        <v>52</v>
      </c>
      <c r="E31" s="37"/>
      <c r="F31" s="73"/>
      <c r="G31" s="48"/>
      <c r="H31" s="48"/>
      <c r="I31" s="48"/>
      <c r="J31" s="151">
        <f t="shared" si="0"/>
        <v>0</v>
      </c>
      <c r="K31" s="152">
        <f t="shared" si="1"/>
        <v>0</v>
      </c>
      <c r="L31" s="32" t="b">
        <f>IF($E31="Longueur ",IF($D31="BeF",VLOOKUP($J31,BeF_Concours!$D$3:$J$52,7,TRUE),FALSE))</f>
        <v>0</v>
      </c>
      <c r="M31" s="4" t="b">
        <f>IF($E31="Triple saut ",IF($D31="BeF",VLOOKUP($J31,BeF_Concours!$E$3:$J$52,6,TRUE),FALSE))</f>
        <v>0</v>
      </c>
      <c r="N31" s="4" t="b">
        <f>IF($E31="Longueur ",IF($D31="BeM",VLOOKUP($J31,BeM_Concours!$D$3:$J$52,7,TRUE),FALSE))</f>
        <v>0</v>
      </c>
      <c r="O31" s="4" t="b">
        <f>IF($E31="Triple saut ",IF($D31="BeM",VLOOKUP($J31,BeM_Concours!$E$3:$J$52,6,TRUE),FALSE))</f>
        <v>0</v>
      </c>
      <c r="P31" s="4" t="b">
        <f>IF($E31="Longueur ",IF($D31="MiF",VLOOKUP($J31,MiF_Concours!$D$3:$J$52,7,TRUE),FALSE))</f>
        <v>0</v>
      </c>
      <c r="Q31" s="4" t="b">
        <f>IF($E31="Triple saut ",IF($D31="MiF",VLOOKUP($J31,MiF_Concours!$E$3:$J$52,6,TRUE),FALSE))</f>
        <v>0</v>
      </c>
      <c r="R31" s="4" t="b">
        <f>IF($E31="Longueur ",IF($D31="MiM",VLOOKUP($J31,MiM_Concours!$D$3:$J$52,7,TRUE),FALSE))</f>
        <v>0</v>
      </c>
      <c r="S31" s="4" t="b">
        <f>IF($E31="Triple saut ",IF($D31="MiM",VLOOKUP($J31,MiM_Concours!$E$3:$J$52,6,TRUE),FALSE))</f>
        <v>0</v>
      </c>
      <c r="T31" s="11"/>
    </row>
    <row r="32" spans="1:20" ht="15">
      <c r="A32" s="60"/>
      <c r="B32" s="46"/>
      <c r="C32" s="70"/>
      <c r="D32" s="67" t="s">
        <v>52</v>
      </c>
      <c r="E32" s="37"/>
      <c r="F32" s="73"/>
      <c r="G32" s="48"/>
      <c r="H32" s="48"/>
      <c r="I32" s="48"/>
      <c r="J32" s="151">
        <f t="shared" si="0"/>
        <v>0</v>
      </c>
      <c r="K32" s="152">
        <f t="shared" si="1"/>
        <v>0</v>
      </c>
      <c r="L32" s="32" t="b">
        <f>IF($E32="Longueur ",IF($D32="BeF",VLOOKUP($J32,BeF_Concours!$D$3:$J$52,7,TRUE),FALSE))</f>
        <v>0</v>
      </c>
      <c r="M32" s="4" t="b">
        <f>IF($E32="Triple saut ",IF($D32="BeF",VLOOKUP($J32,BeF_Concours!$E$3:$J$52,6,TRUE),FALSE))</f>
        <v>0</v>
      </c>
      <c r="N32" s="4" t="b">
        <f>IF($E32="Longueur ",IF($D32="BeM",VLOOKUP($J32,BeM_Concours!$D$3:$J$52,7,TRUE),FALSE))</f>
        <v>0</v>
      </c>
      <c r="O32" s="4" t="b">
        <f>IF($E32="Triple saut ",IF($D32="BeM",VLOOKUP($J32,BeM_Concours!$E$3:$J$52,6,TRUE),FALSE))</f>
        <v>0</v>
      </c>
      <c r="P32" s="4" t="b">
        <f>IF($E32="Longueur ",IF($D32="MiF",VLOOKUP($J32,MiF_Concours!$D$3:$J$52,7,TRUE),FALSE))</f>
        <v>0</v>
      </c>
      <c r="Q32" s="4" t="b">
        <f>IF($E32="Triple saut ",IF($D32="MiF",VLOOKUP($J32,MiF_Concours!$E$3:$J$52,6,TRUE),FALSE))</f>
        <v>0</v>
      </c>
      <c r="R32" s="4" t="b">
        <f>IF($E32="Longueur ",IF($D32="MiM",VLOOKUP($J32,MiM_Concours!$D$3:$J$52,7,TRUE),FALSE))</f>
        <v>0</v>
      </c>
      <c r="S32" s="4" t="b">
        <f>IF($E32="Triple saut ",IF($D32="MiM",VLOOKUP($J32,MiM_Concours!$E$3:$J$52,6,TRUE),FALSE))</f>
        <v>0</v>
      </c>
      <c r="T32" s="11"/>
    </row>
    <row r="33" spans="1:20" ht="15">
      <c r="A33" s="60"/>
      <c r="B33" s="46"/>
      <c r="C33" s="70"/>
      <c r="D33" s="67" t="s">
        <v>52</v>
      </c>
      <c r="E33" s="37"/>
      <c r="F33" s="73"/>
      <c r="G33" s="48"/>
      <c r="H33" s="48"/>
      <c r="I33" s="48"/>
      <c r="J33" s="151">
        <f t="shared" si="0"/>
        <v>0</v>
      </c>
      <c r="K33" s="152">
        <f t="shared" si="1"/>
        <v>0</v>
      </c>
      <c r="L33" s="32" t="b">
        <f>IF($E33="Longueur ",IF($D33="BeF",VLOOKUP($J33,BeF_Concours!$D$3:$J$52,7,TRUE),FALSE))</f>
        <v>0</v>
      </c>
      <c r="M33" s="4" t="b">
        <f>IF($E33="Triple saut ",IF($D33="BeF",VLOOKUP($J33,BeF_Concours!$E$3:$J$52,6,TRUE),FALSE))</f>
        <v>0</v>
      </c>
      <c r="N33" s="4" t="b">
        <f>IF($E33="Longueur ",IF($D33="BeM",VLOOKUP($J33,BeM_Concours!$D$3:$J$52,7,TRUE),FALSE))</f>
        <v>0</v>
      </c>
      <c r="O33" s="4" t="b">
        <f>IF($E33="Triple saut ",IF($D33="BeM",VLOOKUP($J33,BeM_Concours!$E$3:$J$52,6,TRUE),FALSE))</f>
        <v>0</v>
      </c>
      <c r="P33" s="4" t="b">
        <f>IF($E33="Longueur ",IF($D33="MiF",VLOOKUP($J33,MiF_Concours!$D$3:$J$52,7,TRUE),FALSE))</f>
        <v>0</v>
      </c>
      <c r="Q33" s="4" t="b">
        <f>IF($E33="Triple saut ",IF($D33="MiF",VLOOKUP($J33,MiF_Concours!$E$3:$J$52,6,TRUE),FALSE))</f>
        <v>0</v>
      </c>
      <c r="R33" s="4" t="b">
        <f>IF($E33="Longueur ",IF($D33="MiM",VLOOKUP($J33,MiM_Concours!$D$3:$J$52,7,TRUE),FALSE))</f>
        <v>0</v>
      </c>
      <c r="S33" s="4" t="b">
        <f>IF($E33="Triple saut ",IF($D33="MiM",VLOOKUP($J33,MiM_Concours!$E$3:$J$52,6,TRUE),FALSE))</f>
        <v>0</v>
      </c>
      <c r="T33" s="11"/>
    </row>
    <row r="34" spans="1:20" ht="15">
      <c r="A34" s="60"/>
      <c r="B34" s="46"/>
      <c r="C34" s="70"/>
      <c r="D34" s="67" t="s">
        <v>52</v>
      </c>
      <c r="E34" s="37"/>
      <c r="F34" s="73"/>
      <c r="G34" s="48"/>
      <c r="H34" s="48"/>
      <c r="I34" s="48"/>
      <c r="J34" s="151">
        <f t="shared" si="0"/>
        <v>0</v>
      </c>
      <c r="K34" s="152">
        <f t="shared" si="1"/>
        <v>0</v>
      </c>
      <c r="L34" s="32" t="b">
        <f>IF($E34="Longueur ",IF($D34="BeF",VLOOKUP($J34,BeF_Concours!$D$3:$J$52,7,TRUE),FALSE))</f>
        <v>0</v>
      </c>
      <c r="M34" s="4" t="b">
        <f>IF($E34="Triple saut ",IF($D34="BeF",VLOOKUP($J34,BeF_Concours!$E$3:$J$52,6,TRUE),FALSE))</f>
        <v>0</v>
      </c>
      <c r="N34" s="4" t="b">
        <f>IF($E34="Longueur ",IF($D34="BeM",VLOOKUP($J34,BeM_Concours!$D$3:$J$52,7,TRUE),FALSE))</f>
        <v>0</v>
      </c>
      <c r="O34" s="4" t="b">
        <f>IF($E34="Triple saut ",IF($D34="BeM",VLOOKUP($J34,BeM_Concours!$E$3:$J$52,6,TRUE),FALSE))</f>
        <v>0</v>
      </c>
      <c r="P34" s="4" t="b">
        <f>IF($E34="Longueur ",IF($D34="MiF",VLOOKUP($J34,MiF_Concours!$D$3:$J$52,7,TRUE),FALSE))</f>
        <v>0</v>
      </c>
      <c r="Q34" s="4" t="b">
        <f>IF($E34="Triple saut ",IF($D34="MiF",VLOOKUP($J34,MiF_Concours!$E$3:$J$52,6,TRUE),FALSE))</f>
        <v>0</v>
      </c>
      <c r="R34" s="4" t="b">
        <f>IF($E34="Longueur ",IF($D34="MiM",VLOOKUP($J34,MiM_Concours!$D$3:$J$52,7,TRUE),FALSE))</f>
        <v>0</v>
      </c>
      <c r="S34" s="4" t="b">
        <f>IF($E34="Triple saut ",IF($D34="MiM",VLOOKUP($J34,MiM_Concours!$E$3:$J$52,6,TRUE),FALSE))</f>
        <v>0</v>
      </c>
      <c r="T34" s="11"/>
    </row>
    <row r="35" spans="1:20" ht="15">
      <c r="A35" s="60"/>
      <c r="B35" s="46"/>
      <c r="C35" s="70"/>
      <c r="D35" s="67" t="s">
        <v>53</v>
      </c>
      <c r="E35" s="37"/>
      <c r="F35" s="73"/>
      <c r="G35" s="48"/>
      <c r="H35" s="48"/>
      <c r="I35" s="48"/>
      <c r="J35" s="151">
        <f t="shared" si="0"/>
        <v>0</v>
      </c>
      <c r="K35" s="152">
        <f t="shared" si="1"/>
        <v>0</v>
      </c>
      <c r="L35" s="32" t="b">
        <f>IF($E35="Longueur ",IF($D35="BeF",VLOOKUP($J35,BeF_Concours!$D$3:$J$52,7,TRUE),FALSE))</f>
        <v>0</v>
      </c>
      <c r="M35" s="4" t="b">
        <f>IF($E35="Triple saut ",IF($D35="BeF",VLOOKUP($J35,BeF_Concours!$E$3:$J$52,6,TRUE),FALSE))</f>
        <v>0</v>
      </c>
      <c r="N35" s="4" t="b">
        <f>IF($E35="Longueur ",IF($D35="BeM",VLOOKUP($J35,BeM_Concours!$D$3:$J$52,7,TRUE),FALSE))</f>
        <v>0</v>
      </c>
      <c r="O35" s="4" t="b">
        <f>IF($E35="Triple saut ",IF($D35="BeM",VLOOKUP($J35,BeM_Concours!$E$3:$J$52,6,TRUE),FALSE))</f>
        <v>0</v>
      </c>
      <c r="P35" s="4" t="b">
        <f>IF($E35="Longueur ",IF($D35="MiF",VLOOKUP($J35,MiF_Concours!$D$3:$J$52,7,TRUE),FALSE))</f>
        <v>0</v>
      </c>
      <c r="Q35" s="4" t="b">
        <f>IF($E35="Triple saut ",IF($D35="MiF",VLOOKUP($J35,MiF_Concours!$E$3:$J$52,6,TRUE),FALSE))</f>
        <v>0</v>
      </c>
      <c r="R35" s="4" t="b">
        <f>IF($E35="Longueur ",IF($D35="MiM",VLOOKUP($J35,MiM_Concours!$D$3:$J$52,7,TRUE),FALSE))</f>
        <v>0</v>
      </c>
      <c r="S35" s="4" t="b">
        <f>IF($E35="Triple saut ",IF($D35="MiM",VLOOKUP($J35,MiM_Concours!$E$3:$J$52,6,TRUE),FALSE))</f>
        <v>0</v>
      </c>
      <c r="T35" s="11"/>
    </row>
    <row r="36" spans="1:20" ht="15">
      <c r="A36" s="60"/>
      <c r="B36" s="46"/>
      <c r="C36" s="70"/>
      <c r="D36" s="67" t="s">
        <v>54</v>
      </c>
      <c r="E36" s="37"/>
      <c r="F36" s="73"/>
      <c r="G36" s="48"/>
      <c r="H36" s="48"/>
      <c r="I36" s="48"/>
      <c r="J36" s="151">
        <f t="shared" si="0"/>
        <v>0</v>
      </c>
      <c r="K36" s="152">
        <f t="shared" si="1"/>
        <v>0</v>
      </c>
      <c r="L36" s="32" t="b">
        <f>IF($E36="Longueur ",IF($D36="BeF",VLOOKUP($J36,BeF_Concours!$D$3:$J$52,7,TRUE),FALSE))</f>
        <v>0</v>
      </c>
      <c r="M36" s="4" t="b">
        <f>IF($E36="Triple saut ",IF($D36="BeF",VLOOKUP($J36,BeF_Concours!$E$3:$J$52,6,TRUE),FALSE))</f>
        <v>0</v>
      </c>
      <c r="N36" s="4" t="b">
        <f>IF($E36="Longueur ",IF($D36="BeM",VLOOKUP($J36,BeM_Concours!$D$3:$J$52,7,TRUE),FALSE))</f>
        <v>0</v>
      </c>
      <c r="O36" s="4" t="b">
        <f>IF($E36="Triple saut ",IF($D36="BeM",VLOOKUP($J36,BeM_Concours!$E$3:$J$52,6,TRUE),FALSE))</f>
        <v>0</v>
      </c>
      <c r="P36" s="4" t="b">
        <f>IF($E36="Longueur ",IF($D36="MiF",VLOOKUP($J36,MiF_Concours!$D$3:$J$52,7,TRUE),FALSE))</f>
        <v>0</v>
      </c>
      <c r="Q36" s="4" t="b">
        <f>IF($E36="Triple saut ",IF($D36="MiF",VLOOKUP($J36,MiF_Concours!$E$3:$J$52,6,TRUE),FALSE))</f>
        <v>0</v>
      </c>
      <c r="R36" s="4" t="b">
        <f>IF($E36="Longueur ",IF($D36="MiM",VLOOKUP($J36,MiM_Concours!$D$3:$J$52,7,TRUE),FALSE))</f>
        <v>0</v>
      </c>
      <c r="S36" s="4" t="b">
        <f>IF($E36="Triple saut ",IF($D36="MiM",VLOOKUP($J36,MiM_Concours!$E$3:$J$52,6,TRUE),FALSE))</f>
        <v>0</v>
      </c>
      <c r="T36" s="11"/>
    </row>
    <row r="37" spans="1:20" ht="15.75" thickBot="1">
      <c r="A37" s="62"/>
      <c r="B37" s="63"/>
      <c r="C37" s="71"/>
      <c r="D37" s="68" t="s">
        <v>55</v>
      </c>
      <c r="E37" s="39"/>
      <c r="F37" s="84"/>
      <c r="G37" s="89"/>
      <c r="H37" s="89"/>
      <c r="I37" s="89"/>
      <c r="J37" s="153">
        <f t="shared" si="0"/>
        <v>0</v>
      </c>
      <c r="K37" s="152">
        <f t="shared" si="1"/>
        <v>0</v>
      </c>
      <c r="L37" s="32" t="b">
        <f>IF($E37="Longueur ",IF($D37="BeF",VLOOKUP($J37,BeF_Concours!$D$3:$J$52,7,TRUE),FALSE))</f>
        <v>0</v>
      </c>
      <c r="M37" s="4" t="b">
        <f>IF($E37="Triple saut ",IF($D37="BeF",VLOOKUP($J37,BeF_Concours!$E$3:$J$52,6,TRUE),FALSE))</f>
        <v>0</v>
      </c>
      <c r="N37" s="4" t="b">
        <f>IF($E37="Longueur ",IF($D37="BeM",VLOOKUP($J37,BeM_Concours!$D$3:$J$52,7,TRUE),FALSE))</f>
        <v>0</v>
      </c>
      <c r="O37" s="4" t="b">
        <f>IF($E37="Triple saut ",IF($D37="BeM",VLOOKUP($J37,BeM_Concours!$E$3:$J$52,6,TRUE),FALSE))</f>
        <v>0</v>
      </c>
      <c r="P37" s="4" t="b">
        <f>IF($E37="Longueur ",IF($D37="MiF",VLOOKUP($J37,MiF_Concours!$D$3:$J$52,7,TRUE),FALSE))</f>
        <v>0</v>
      </c>
      <c r="Q37" s="4" t="b">
        <f>IF($E37="Triple saut ",IF($D37="MiF",VLOOKUP($J37,MiF_Concours!$E$3:$J$52,6,TRUE),FALSE))</f>
        <v>0</v>
      </c>
      <c r="R37" s="4" t="b">
        <f>IF($E37="Longueur ",IF($D37="MiM",VLOOKUP($J37,MiM_Concours!$D$3:$J$52,7,TRUE),FALSE))</f>
        <v>0</v>
      </c>
      <c r="S37" s="4" t="b">
        <f>IF($E37="Triple saut ",IF($D37="MiM",VLOOKUP($J37,MiM_Concours!$E$3:$J$52,6,TRUE),FALSE))</f>
        <v>0</v>
      </c>
      <c r="T37" s="11"/>
    </row>
  </sheetData>
  <sheetProtection password="D2F3" sheet="1" objects="1" scenarios="1" selectLockedCells="1"/>
  <mergeCells count="10">
    <mergeCell ref="A2:K2"/>
    <mergeCell ref="C3:F3"/>
    <mergeCell ref="H3:K3"/>
    <mergeCell ref="B4:B5"/>
    <mergeCell ref="C4:F5"/>
    <mergeCell ref="G4:H4"/>
    <mergeCell ref="I4:J4"/>
    <mergeCell ref="G5:H5"/>
    <mergeCell ref="I5:J5"/>
    <mergeCell ref="K4:K5"/>
  </mergeCells>
  <dataValidations count="3">
    <dataValidation type="list" allowBlank="1" showInputMessage="1" showErrorMessage="1" sqref="D7:D37">
      <formula1>$R$2:$R$5</formula1>
    </dataValidation>
    <dataValidation type="list" allowBlank="1" showInputMessage="1" showErrorMessage="1" sqref="B3">
      <formula1>$M$1:$M$5</formula1>
    </dataValidation>
    <dataValidation type="list" allowBlank="1" showInputMessage="1" showErrorMessage="1" sqref="E7:E37">
      <formula1>$M$2:$M$4</formula1>
    </dataValidation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landscape" paperSize="256" scale="75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7"/>
  <sheetViews>
    <sheetView workbookViewId="0" topLeftCell="A4">
      <selection activeCell="G12" sqref="G12"/>
    </sheetView>
  </sheetViews>
  <sheetFormatPr defaultColWidth="11.421875" defaultRowHeight="15"/>
  <cols>
    <col min="1" max="2" width="18.28125" style="0" customWidth="1"/>
    <col min="3" max="3" width="20.140625" style="0" customWidth="1"/>
    <col min="4" max="4" width="18.00390625" style="2" customWidth="1"/>
    <col min="5" max="5" width="14.00390625" style="2" customWidth="1"/>
    <col min="6" max="10" width="12.57421875" style="0" customWidth="1"/>
    <col min="11" max="11" width="13.8515625" style="2" bestFit="1" customWidth="1"/>
    <col min="12" max="12" width="11.421875" style="11" hidden="1" customWidth="1"/>
    <col min="13" max="19" width="11.421875" style="0" hidden="1" customWidth="1"/>
  </cols>
  <sheetData>
    <row r="1" spans="1:20" ht="180.75" customHeight="1" thickBot="1">
      <c r="A1" s="5"/>
      <c r="B1" s="6"/>
      <c r="C1" s="6"/>
      <c r="D1" s="99"/>
      <c r="E1" s="99"/>
      <c r="F1" s="6"/>
      <c r="G1" s="6"/>
      <c r="H1" s="6"/>
      <c r="I1" s="6"/>
      <c r="J1" s="6"/>
      <c r="K1" s="99"/>
      <c r="L1" s="5"/>
      <c r="T1" s="11"/>
    </row>
    <row r="2" spans="1:20" ht="24" thickBot="1">
      <c r="A2" s="240" t="s">
        <v>323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54" t="s">
        <v>10</v>
      </c>
      <c r="M2" t="s">
        <v>129</v>
      </c>
      <c r="R2" t="s">
        <v>52</v>
      </c>
      <c r="T2" s="11"/>
    </row>
    <row r="3" spans="1:20" ht="15.75" thickBot="1">
      <c r="A3" s="21" t="s">
        <v>132</v>
      </c>
      <c r="B3" s="22"/>
      <c r="C3" s="242" t="str">
        <f>IF(B3="Triple saut ",N4," ")</f>
        <v/>
      </c>
      <c r="D3" s="243"/>
      <c r="E3" s="243"/>
      <c r="F3" s="244"/>
      <c r="G3" s="23" t="s">
        <v>62</v>
      </c>
      <c r="H3" s="206"/>
      <c r="I3" s="206"/>
      <c r="J3" s="206"/>
      <c r="K3" s="207"/>
      <c r="N3" t="s">
        <v>10</v>
      </c>
      <c r="R3" t="s">
        <v>53</v>
      </c>
      <c r="T3" s="11"/>
    </row>
    <row r="4" spans="1:20" ht="15">
      <c r="A4" s="115" t="s">
        <v>0</v>
      </c>
      <c r="B4" s="195" t="s">
        <v>61</v>
      </c>
      <c r="C4" s="245"/>
      <c r="D4" s="245"/>
      <c r="E4" s="246"/>
      <c r="F4" s="247"/>
      <c r="G4" s="215" t="s">
        <v>1</v>
      </c>
      <c r="H4" s="216"/>
      <c r="I4" s="217" t="s">
        <v>2</v>
      </c>
      <c r="J4" s="218"/>
      <c r="K4" s="250"/>
      <c r="M4" t="s">
        <v>130</v>
      </c>
      <c r="N4" t="s">
        <v>131</v>
      </c>
      <c r="R4" t="s">
        <v>54</v>
      </c>
      <c r="T4" s="11"/>
    </row>
    <row r="5" spans="1:20" ht="15.75" thickBot="1">
      <c r="A5" s="24"/>
      <c r="B5" s="210"/>
      <c r="C5" s="248"/>
      <c r="D5" s="248"/>
      <c r="E5" s="220"/>
      <c r="F5" s="249"/>
      <c r="G5" s="219"/>
      <c r="H5" s="220"/>
      <c r="I5" s="221"/>
      <c r="J5" s="222"/>
      <c r="K5" s="251"/>
      <c r="N5" t="s">
        <v>10</v>
      </c>
      <c r="R5" t="s">
        <v>55</v>
      </c>
      <c r="T5" s="11"/>
    </row>
    <row r="6" spans="1:20" ht="30" customHeight="1" thickBot="1">
      <c r="A6" s="19" t="s">
        <v>3</v>
      </c>
      <c r="B6" s="20" t="s">
        <v>4</v>
      </c>
      <c r="C6" s="20" t="s">
        <v>5</v>
      </c>
      <c r="D6" s="20" t="s">
        <v>324</v>
      </c>
      <c r="E6" s="20" t="s">
        <v>133</v>
      </c>
      <c r="F6" s="20" t="s">
        <v>117</v>
      </c>
      <c r="G6" s="20" t="s">
        <v>118</v>
      </c>
      <c r="H6" s="20" t="s">
        <v>119</v>
      </c>
      <c r="I6" s="20" t="s">
        <v>120</v>
      </c>
      <c r="J6" s="20" t="s">
        <v>121</v>
      </c>
      <c r="K6" s="20" t="s">
        <v>6</v>
      </c>
      <c r="L6" s="11" t="s">
        <v>52</v>
      </c>
      <c r="M6" t="s">
        <v>122</v>
      </c>
      <c r="N6" t="s">
        <v>53</v>
      </c>
      <c r="O6" t="s">
        <v>125</v>
      </c>
      <c r="P6" t="s">
        <v>54</v>
      </c>
      <c r="Q6" t="s">
        <v>128</v>
      </c>
      <c r="R6" t="s">
        <v>55</v>
      </c>
      <c r="S6" t="s">
        <v>58</v>
      </c>
      <c r="T6" s="11"/>
    </row>
    <row r="7" spans="1:20" ht="15">
      <c r="A7" s="56"/>
      <c r="B7" s="57"/>
      <c r="C7" s="69"/>
      <c r="D7" s="66" t="s">
        <v>55</v>
      </c>
      <c r="E7" s="35"/>
      <c r="F7" s="72"/>
      <c r="G7" s="88"/>
      <c r="H7" s="88"/>
      <c r="I7" s="88"/>
      <c r="J7" s="58">
        <f>MAX(F7,G7,H7,I7)</f>
        <v>0</v>
      </c>
      <c r="K7" s="59">
        <f>MAX(L7,M7,N7,O7,P7,Q7,R7,S7,)</f>
        <v>0</v>
      </c>
      <c r="L7" s="32" t="b">
        <f>IF($E7="Longueur ",IF($D7="BeF",VLOOKUP($J7,BeF_Concours!$D$3:$J$52,7,TRUE),FALSE))</f>
        <v>0</v>
      </c>
      <c r="M7" s="4" t="b">
        <f>IF($E7="Triple saut ",IF($D7="BeF",VLOOKUP($J7,BeF_Concours!$E$3:$J$52,6,TRUE),FALSE))</f>
        <v>0</v>
      </c>
      <c r="N7" s="4" t="b">
        <f>IF($E7="Longueur ",IF($D7="BeM",VLOOKUP($J7,BeM_Concours!$D$3:$J$52,7,TRUE),FALSE))</f>
        <v>0</v>
      </c>
      <c r="O7" s="4" t="b">
        <f>IF($E7="Triple saut ",IF($D7="BeM",VLOOKUP($J7,BeM_Concours!$E$3:$J$52,6,TRUE),FALSE))</f>
        <v>0</v>
      </c>
      <c r="P7" s="4" t="b">
        <f>IF($E7="Longueur ",IF($D7="MiF",VLOOKUP($J7,MiF_Concours!$D$3:$J$52,7,TRUE),FALSE))</f>
        <v>0</v>
      </c>
      <c r="Q7" s="4" t="b">
        <f>IF($E7="Triple saut ",IF($D7="MiF",VLOOKUP($J7,MiF_Concours!$E$3:$J$52,6,TRUE),FALSE))</f>
        <v>0</v>
      </c>
      <c r="R7" s="4" t="b">
        <f>IF($E7="Longueur ",IF($D7="MiM",VLOOKUP($J7,MiM_Concours!$D$3:$J$52,7,TRUE),FALSE))</f>
        <v>0</v>
      </c>
      <c r="S7" s="4" t="b">
        <f>IF($E7="Triple saut ",IF($D7="MiM",VLOOKUP($J7,MiM_Concours!$E$3:$J$52,6,TRUE),FALSE))</f>
        <v>0</v>
      </c>
      <c r="T7" s="11"/>
    </row>
    <row r="8" spans="1:20" ht="15">
      <c r="A8" s="60"/>
      <c r="B8" s="46"/>
      <c r="C8" s="70"/>
      <c r="D8" s="67" t="s">
        <v>54</v>
      </c>
      <c r="E8" s="37"/>
      <c r="F8" s="73"/>
      <c r="G8" s="48"/>
      <c r="H8" s="48"/>
      <c r="I8" s="48"/>
      <c r="J8" s="55">
        <f aca="true" t="shared" si="0" ref="J8:J37">MAX(F8,G8,H8,I8)</f>
        <v>0</v>
      </c>
      <c r="K8" s="61">
        <f aca="true" t="shared" si="1" ref="K8:K37">MAX(L8,M8,N8,O8,P8,Q8,R8,S8,)</f>
        <v>0</v>
      </c>
      <c r="L8" s="32" t="b">
        <f>IF($E8="Longueur ",IF($D8="BeF",VLOOKUP($J8,BeF_Concours!$D$3:$J$52,7,TRUE),FALSE))</f>
        <v>0</v>
      </c>
      <c r="M8" s="4" t="b">
        <f>IF($E8="Triple saut ",IF($D8="BeF",VLOOKUP($J8,BeF_Concours!$E$3:$J$52,6,TRUE),FALSE))</f>
        <v>0</v>
      </c>
      <c r="N8" s="4" t="b">
        <f>IF($E8="Longueur ",IF($D8="BeM",VLOOKUP($J8,BeM_Concours!$D$3:$J$52,7,TRUE),FALSE))</f>
        <v>0</v>
      </c>
      <c r="O8" s="4" t="b">
        <f>IF($E8="Triple saut ",IF($D8="BeM",VLOOKUP($J8,BeM_Concours!$E$3:$J$52,6,TRUE),FALSE))</f>
        <v>0</v>
      </c>
      <c r="P8" s="4" t="b">
        <f>IF($E8="Longueur ",IF($D8="MiF",VLOOKUP($J8,MiF_Concours!$D$3:$J$52,7,TRUE),FALSE))</f>
        <v>0</v>
      </c>
      <c r="Q8" s="4" t="b">
        <f>IF($E8="Triple saut ",IF($D8="MiF",VLOOKUP($J8,MiF_Concours!$E$3:$J$52,6,TRUE),FALSE))</f>
        <v>0</v>
      </c>
      <c r="R8" s="4" t="b">
        <f>IF($E8="Longueur ",IF($D8="MiM",VLOOKUP($J8,MiM_Concours!$D$3:$J$52,7,TRUE),FALSE))</f>
        <v>0</v>
      </c>
      <c r="S8" s="4" t="b">
        <f>IF($E8="Triple saut ",IF($D8="MiM",VLOOKUP($J8,MiM_Concours!$E$3:$J$52,6,TRUE),FALSE))</f>
        <v>0</v>
      </c>
      <c r="T8" s="11"/>
    </row>
    <row r="9" spans="1:20" ht="15">
      <c r="A9" s="60"/>
      <c r="B9" s="46"/>
      <c r="C9" s="70"/>
      <c r="D9" s="67" t="s">
        <v>54</v>
      </c>
      <c r="E9" s="37"/>
      <c r="F9" s="73"/>
      <c r="G9" s="48"/>
      <c r="H9" s="48"/>
      <c r="I9" s="48"/>
      <c r="J9" s="55">
        <f t="shared" si="0"/>
        <v>0</v>
      </c>
      <c r="K9" s="61">
        <f t="shared" si="1"/>
        <v>0</v>
      </c>
      <c r="L9" s="32" t="b">
        <f>IF($E9="Longueur ",IF($D9="BeF",VLOOKUP($J9,BeF_Concours!$D$3:$J$52,7,TRUE),FALSE))</f>
        <v>0</v>
      </c>
      <c r="M9" s="4" t="b">
        <f>IF($E9="Triple saut ",IF($D9="BeF",VLOOKUP($J9,BeF_Concours!$E$3:$J$52,6,TRUE),FALSE))</f>
        <v>0</v>
      </c>
      <c r="N9" s="4" t="b">
        <f>IF($E9="Longueur ",IF($D9="BeM",VLOOKUP($J9,BeM_Concours!$D$3:$J$52,7,TRUE),FALSE))</f>
        <v>0</v>
      </c>
      <c r="O9" s="4" t="b">
        <f>IF($E9="Triple saut ",IF($D9="BeM",VLOOKUP($J9,BeM_Concours!$E$3:$J$52,6,TRUE),FALSE))</f>
        <v>0</v>
      </c>
      <c r="P9" s="4" t="b">
        <f>IF($E9="Longueur ",IF($D9="MiF",VLOOKUP($J9,MiF_Concours!$D$3:$J$52,7,TRUE),FALSE))</f>
        <v>0</v>
      </c>
      <c r="Q9" s="4" t="b">
        <f>IF($E9="Triple saut ",IF($D9="MiF",VLOOKUP($J9,MiF_Concours!$E$3:$J$52,6,TRUE),FALSE))</f>
        <v>0</v>
      </c>
      <c r="R9" s="4" t="b">
        <f>IF($E9="Longueur ",IF($D9="MiM",VLOOKUP($J9,MiM_Concours!$D$3:$J$52,7,TRUE),FALSE))</f>
        <v>0</v>
      </c>
      <c r="S9" s="4" t="b">
        <f>IF($E9="Triple saut ",IF($D9="MiM",VLOOKUP($J9,MiM_Concours!$E$3:$J$52,6,TRUE),FALSE))</f>
        <v>0</v>
      </c>
      <c r="T9" s="11"/>
    </row>
    <row r="10" spans="1:20" ht="15">
      <c r="A10" s="60"/>
      <c r="B10" s="46"/>
      <c r="C10" s="70"/>
      <c r="D10" s="67" t="s">
        <v>54</v>
      </c>
      <c r="E10" s="37"/>
      <c r="F10" s="73"/>
      <c r="G10" s="48"/>
      <c r="H10" s="48"/>
      <c r="I10" s="48"/>
      <c r="J10" s="55">
        <f t="shared" si="0"/>
        <v>0</v>
      </c>
      <c r="K10" s="61">
        <f t="shared" si="1"/>
        <v>0</v>
      </c>
      <c r="L10" s="32" t="b">
        <f>IF($E10="Longueur ",IF($D10="BeF",VLOOKUP($J10,BeF_Concours!$D$3:$J$52,7,TRUE),FALSE))</f>
        <v>0</v>
      </c>
      <c r="M10" s="4" t="b">
        <f>IF($E10="Triple saut ",IF($D10="BeF",VLOOKUP($J10,BeF_Concours!$E$3:$J$52,6,TRUE),FALSE))</f>
        <v>0</v>
      </c>
      <c r="N10" s="4" t="b">
        <f>IF($E10="Longueur ",IF($D10="BeM",VLOOKUP($J10,BeM_Concours!$D$3:$J$52,7,TRUE),FALSE))</f>
        <v>0</v>
      </c>
      <c r="O10" s="4" t="b">
        <f>IF($E10="Triple saut ",IF($D10="BeM",VLOOKUP($J10,BeM_Concours!$E$3:$J$52,6,TRUE),FALSE))</f>
        <v>0</v>
      </c>
      <c r="P10" s="4" t="b">
        <f>IF($E10="Longueur ",IF($D10="MiF",VLOOKUP($J10,MiF_Concours!$D$3:$J$52,7,TRUE),FALSE))</f>
        <v>0</v>
      </c>
      <c r="Q10" s="4" t="b">
        <f>IF($E10="Triple saut ",IF($D10="MiF",VLOOKUP($J10,MiF_Concours!$E$3:$J$52,6,TRUE),FALSE))</f>
        <v>0</v>
      </c>
      <c r="R10" s="4" t="b">
        <f>IF($E10="Longueur ",IF($D10="MiM",VLOOKUP($J10,MiM_Concours!$D$3:$J$52,7,TRUE),FALSE))</f>
        <v>0</v>
      </c>
      <c r="S10" s="4" t="b">
        <f>IF($E10="Triple saut ",IF($D10="MiM",VLOOKUP($J10,MiM_Concours!$E$3:$J$52,6,TRUE),FALSE))</f>
        <v>0</v>
      </c>
      <c r="T10" s="11"/>
    </row>
    <row r="11" spans="1:20" ht="15">
      <c r="A11" s="60"/>
      <c r="B11" s="46"/>
      <c r="C11" s="70"/>
      <c r="D11" s="67" t="s">
        <v>54</v>
      </c>
      <c r="E11" s="37"/>
      <c r="F11" s="73"/>
      <c r="G11" s="48"/>
      <c r="H11" s="48"/>
      <c r="I11" s="48"/>
      <c r="J11" s="55">
        <f t="shared" si="0"/>
        <v>0</v>
      </c>
      <c r="K11" s="61">
        <f t="shared" si="1"/>
        <v>0</v>
      </c>
      <c r="L11" s="32" t="b">
        <f>IF($E11="Longueur ",IF($D11="BeF",VLOOKUP($J11,BeF_Concours!$D$3:$J$52,7,TRUE),FALSE))</f>
        <v>0</v>
      </c>
      <c r="M11" s="4" t="b">
        <f>IF($E11="Triple saut ",IF($D11="BeF",VLOOKUP($J11,BeF_Concours!$E$3:$J$52,6,TRUE),FALSE))</f>
        <v>0</v>
      </c>
      <c r="N11" s="4" t="b">
        <f>IF($E11="Longueur ",IF($D11="BeM",VLOOKUP($J11,BeM_Concours!$D$3:$J$52,7,TRUE),FALSE))</f>
        <v>0</v>
      </c>
      <c r="O11" s="4" t="b">
        <f>IF($E11="Triple saut ",IF($D11="BeM",VLOOKUP($J11,BeM_Concours!$E$3:$J$52,6,TRUE),FALSE))</f>
        <v>0</v>
      </c>
      <c r="P11" s="4" t="b">
        <f>IF($E11="Longueur ",IF($D11="MiF",VLOOKUP($J11,MiF_Concours!$D$3:$J$52,7,TRUE),FALSE))</f>
        <v>0</v>
      </c>
      <c r="Q11" s="4" t="b">
        <f>IF($E11="Triple saut ",IF($D11="MiF",VLOOKUP($J11,MiF_Concours!$E$3:$J$52,6,TRUE),FALSE))</f>
        <v>0</v>
      </c>
      <c r="R11" s="4" t="b">
        <f>IF($E11="Longueur ",IF($D11="MiM",VLOOKUP($J11,MiM_Concours!$D$3:$J$52,7,TRUE),FALSE))</f>
        <v>0</v>
      </c>
      <c r="S11" s="4" t="b">
        <f>IF($E11="Triple saut ",IF($D11="MiM",VLOOKUP($J11,MiM_Concours!$E$3:$J$52,6,TRUE),FALSE))</f>
        <v>0</v>
      </c>
      <c r="T11" s="11"/>
    </row>
    <row r="12" spans="1:20" ht="15">
      <c r="A12" s="60"/>
      <c r="B12" s="46"/>
      <c r="C12" s="70"/>
      <c r="D12" s="67" t="s">
        <v>54</v>
      </c>
      <c r="E12" s="37"/>
      <c r="F12" s="73"/>
      <c r="G12" s="48"/>
      <c r="H12" s="48"/>
      <c r="I12" s="48"/>
      <c r="J12" s="55">
        <f t="shared" si="0"/>
        <v>0</v>
      </c>
      <c r="K12" s="61">
        <f t="shared" si="1"/>
        <v>0</v>
      </c>
      <c r="L12" s="32" t="b">
        <f>IF($E12="Longueur ",IF($D12="BeF",VLOOKUP($J12,BeF_Concours!$D$3:$J$52,7,TRUE),FALSE))</f>
        <v>0</v>
      </c>
      <c r="M12" s="4" t="b">
        <f>IF($E12="Triple saut ",IF($D12="BeF",VLOOKUP($J12,BeF_Concours!$E$3:$J$52,6,TRUE),FALSE))</f>
        <v>0</v>
      </c>
      <c r="N12" s="4" t="b">
        <f>IF($E12="Longueur ",IF($D12="BeM",VLOOKUP($J12,BeM_Concours!$D$3:$J$52,7,TRUE),FALSE))</f>
        <v>0</v>
      </c>
      <c r="O12" s="4" t="b">
        <f>IF($E12="Triple saut ",IF($D12="BeM",VLOOKUP($J12,BeM_Concours!$E$3:$J$52,6,TRUE),FALSE))</f>
        <v>0</v>
      </c>
      <c r="P12" s="4" t="b">
        <f>IF($E12="Longueur ",IF($D12="MiF",VLOOKUP($J12,MiF_Concours!$D$3:$J$52,7,TRUE),FALSE))</f>
        <v>0</v>
      </c>
      <c r="Q12" s="4" t="b">
        <f>IF($E12="Triple saut ",IF($D12="MiF",VLOOKUP($J12,MiF_Concours!$E$3:$J$52,6,TRUE),FALSE))</f>
        <v>0</v>
      </c>
      <c r="R12" s="4" t="b">
        <f>IF($E12="Longueur ",IF($D12="MiM",VLOOKUP($J12,MiM_Concours!$D$3:$J$52,7,TRUE),FALSE))</f>
        <v>0</v>
      </c>
      <c r="S12" s="4" t="b">
        <f>IF($E12="Triple saut ",IF($D12="MiM",VLOOKUP($J12,MiM_Concours!$E$3:$J$52,6,TRUE),FALSE))</f>
        <v>0</v>
      </c>
      <c r="T12" s="11"/>
    </row>
    <row r="13" spans="1:20" ht="15">
      <c r="A13" s="60"/>
      <c r="B13" s="46"/>
      <c r="C13" s="70"/>
      <c r="D13" s="67" t="s">
        <v>54</v>
      </c>
      <c r="E13" s="37"/>
      <c r="F13" s="73"/>
      <c r="G13" s="48"/>
      <c r="H13" s="48"/>
      <c r="I13" s="48"/>
      <c r="J13" s="55">
        <f t="shared" si="0"/>
        <v>0</v>
      </c>
      <c r="K13" s="61">
        <f t="shared" si="1"/>
        <v>0</v>
      </c>
      <c r="L13" s="32" t="b">
        <f>IF($E13="Longueur ",IF($D13="BeF",VLOOKUP($J13,BeF_Concours!$D$3:$J$52,7,TRUE),FALSE))</f>
        <v>0</v>
      </c>
      <c r="M13" s="4" t="b">
        <f>IF($E13="Triple saut ",IF($D13="BeF",VLOOKUP($J13,BeF_Concours!$E$3:$J$52,6,TRUE),FALSE))</f>
        <v>0</v>
      </c>
      <c r="N13" s="4" t="b">
        <f>IF($E13="Longueur ",IF($D13="BeM",VLOOKUP($J13,BeM_Concours!$D$3:$J$52,7,TRUE),FALSE))</f>
        <v>0</v>
      </c>
      <c r="O13" s="4" t="b">
        <f>IF($E13="Triple saut ",IF($D13="BeM",VLOOKUP($J13,BeM_Concours!$E$3:$J$52,6,TRUE),FALSE))</f>
        <v>0</v>
      </c>
      <c r="P13" s="4" t="b">
        <f>IF($E13="Longueur ",IF($D13="MiF",VLOOKUP($J13,MiF_Concours!$D$3:$J$52,7,TRUE),FALSE))</f>
        <v>0</v>
      </c>
      <c r="Q13" s="4" t="b">
        <f>IF($E13="Triple saut ",IF($D13="MiF",VLOOKUP($J13,MiF_Concours!$E$3:$J$52,6,TRUE),FALSE))</f>
        <v>0</v>
      </c>
      <c r="R13" s="4" t="b">
        <f>IF($E13="Longueur ",IF($D13="MiM",VLOOKUP($J13,MiM_Concours!$D$3:$J$52,7,TRUE),FALSE))</f>
        <v>0</v>
      </c>
      <c r="S13" s="4" t="b">
        <f>IF($E13="Triple saut ",IF($D13="MiM",VLOOKUP($J13,MiM_Concours!$E$3:$J$52,6,TRUE),FALSE))</f>
        <v>0</v>
      </c>
      <c r="T13" s="11"/>
    </row>
    <row r="14" spans="1:20" ht="15">
      <c r="A14" s="60"/>
      <c r="B14" s="46"/>
      <c r="C14" s="70"/>
      <c r="D14" s="67" t="s">
        <v>54</v>
      </c>
      <c r="E14" s="37"/>
      <c r="F14" s="73"/>
      <c r="G14" s="48"/>
      <c r="H14" s="48"/>
      <c r="I14" s="48"/>
      <c r="J14" s="55">
        <f t="shared" si="0"/>
        <v>0</v>
      </c>
      <c r="K14" s="61">
        <f t="shared" si="1"/>
        <v>0</v>
      </c>
      <c r="L14" s="32" t="b">
        <f>IF($E14="Longueur ",IF($D14="BeF",VLOOKUP($J14,BeF_Concours!$D$3:$J$52,7,TRUE),FALSE))</f>
        <v>0</v>
      </c>
      <c r="M14" s="4" t="b">
        <f>IF($E14="Triple saut ",IF($D14="BeF",VLOOKUP($J14,BeF_Concours!$E$3:$J$52,6,TRUE),FALSE))</f>
        <v>0</v>
      </c>
      <c r="N14" s="4" t="b">
        <f>IF($E14="Longueur ",IF($D14="BeM",VLOOKUP($J14,BeM_Concours!$D$3:$J$52,7,TRUE),FALSE))</f>
        <v>0</v>
      </c>
      <c r="O14" s="4" t="b">
        <f>IF($E14="Triple saut ",IF($D14="BeM",VLOOKUP($J14,BeM_Concours!$E$3:$J$52,6,TRUE),FALSE))</f>
        <v>0</v>
      </c>
      <c r="P14" s="4" t="b">
        <f>IF($E14="Longueur ",IF($D14="MiF",VLOOKUP($J14,MiF_Concours!$D$3:$J$52,7,TRUE),FALSE))</f>
        <v>0</v>
      </c>
      <c r="Q14" s="4" t="b">
        <f>IF($E14="Triple saut ",IF($D14="MiF",VLOOKUP($J14,MiF_Concours!$E$3:$J$52,6,TRUE),FALSE))</f>
        <v>0</v>
      </c>
      <c r="R14" s="4" t="b">
        <f>IF($E14="Longueur ",IF($D14="MiM",VLOOKUP($J14,MiM_Concours!$D$3:$J$52,7,TRUE),FALSE))</f>
        <v>0</v>
      </c>
      <c r="S14" s="4" t="b">
        <f>IF($E14="Triple saut ",IF($D14="MiM",VLOOKUP($J14,MiM_Concours!$E$3:$J$52,6,TRUE),FALSE))</f>
        <v>0</v>
      </c>
      <c r="T14" s="11"/>
    </row>
    <row r="15" spans="1:20" ht="15">
      <c r="A15" s="60"/>
      <c r="B15" s="46"/>
      <c r="C15" s="70"/>
      <c r="D15" s="67" t="s">
        <v>54</v>
      </c>
      <c r="E15" s="37"/>
      <c r="F15" s="73"/>
      <c r="G15" s="48"/>
      <c r="H15" s="48"/>
      <c r="I15" s="48"/>
      <c r="J15" s="55">
        <f t="shared" si="0"/>
        <v>0</v>
      </c>
      <c r="K15" s="61">
        <f t="shared" si="1"/>
        <v>0</v>
      </c>
      <c r="L15" s="32" t="b">
        <f>IF($E15="Longueur ",IF($D15="BeF",VLOOKUP($J15,BeF_Concours!$D$3:$J$52,7,TRUE),FALSE))</f>
        <v>0</v>
      </c>
      <c r="M15" s="4" t="b">
        <f>IF($E15="Triple saut ",IF($D15="BeF",VLOOKUP($J15,BeF_Concours!$E$3:$J$52,6,TRUE),FALSE))</f>
        <v>0</v>
      </c>
      <c r="N15" s="4" t="b">
        <f>IF($E15="Longueur ",IF($D15="BeM",VLOOKUP($J15,BeM_Concours!$D$3:$J$52,7,TRUE),FALSE))</f>
        <v>0</v>
      </c>
      <c r="O15" s="4" t="b">
        <f>IF($E15="Triple saut ",IF($D15="BeM",VLOOKUP($J15,BeM_Concours!$E$3:$J$52,6,TRUE),FALSE))</f>
        <v>0</v>
      </c>
      <c r="P15" s="4" t="b">
        <f>IF($E15="Longueur ",IF($D15="MiF",VLOOKUP($J15,MiF_Concours!$D$3:$J$52,7,TRUE),FALSE))</f>
        <v>0</v>
      </c>
      <c r="Q15" s="4" t="b">
        <f>IF($E15="Triple saut ",IF($D15="MiF",VLOOKUP($J15,MiF_Concours!$E$3:$J$52,6,TRUE),FALSE))</f>
        <v>0</v>
      </c>
      <c r="R15" s="4" t="b">
        <f>IF($E15="Longueur ",IF($D15="MiM",VLOOKUP($J15,MiM_Concours!$D$3:$J$52,7,TRUE),FALSE))</f>
        <v>0</v>
      </c>
      <c r="S15" s="4" t="b">
        <f>IF($E15="Triple saut ",IF($D15="MiM",VLOOKUP($J15,MiM_Concours!$E$3:$J$52,6,TRUE),FALSE))</f>
        <v>0</v>
      </c>
      <c r="T15" s="11"/>
    </row>
    <row r="16" spans="1:20" ht="15">
      <c r="A16" s="60"/>
      <c r="B16" s="46"/>
      <c r="C16" s="70"/>
      <c r="D16" s="67" t="s">
        <v>54</v>
      </c>
      <c r="E16" s="37"/>
      <c r="F16" s="73"/>
      <c r="G16" s="48"/>
      <c r="H16" s="48"/>
      <c r="I16" s="48"/>
      <c r="J16" s="55">
        <f t="shared" si="0"/>
        <v>0</v>
      </c>
      <c r="K16" s="61">
        <f t="shared" si="1"/>
        <v>0</v>
      </c>
      <c r="L16" s="32" t="b">
        <f>IF($E16="Longueur ",IF($D16="BeF",VLOOKUP($J16,BeF_Concours!$D$3:$J$52,7,TRUE),FALSE))</f>
        <v>0</v>
      </c>
      <c r="M16" s="4" t="b">
        <f>IF($E16="Triple saut ",IF($D16="BeF",VLOOKUP($J16,BeF_Concours!$E$3:$J$52,6,TRUE),FALSE))</f>
        <v>0</v>
      </c>
      <c r="N16" s="4" t="b">
        <f>IF($E16="Longueur ",IF($D16="BeM",VLOOKUP($J16,BeM_Concours!$D$3:$J$52,7,TRUE),FALSE))</f>
        <v>0</v>
      </c>
      <c r="O16" s="4" t="b">
        <f>IF($E16="Triple saut ",IF($D16="BeM",VLOOKUP($J16,BeM_Concours!$E$3:$J$52,6,TRUE),FALSE))</f>
        <v>0</v>
      </c>
      <c r="P16" s="4" t="b">
        <f>IF($E16="Longueur ",IF($D16="MiF",VLOOKUP($J16,MiF_Concours!$D$3:$J$52,7,TRUE),FALSE))</f>
        <v>0</v>
      </c>
      <c r="Q16" s="4" t="b">
        <f>IF($E16="Triple saut ",IF($D16="MiF",VLOOKUP($J16,MiF_Concours!$E$3:$J$52,6,TRUE),FALSE))</f>
        <v>0</v>
      </c>
      <c r="R16" s="4" t="b">
        <f>IF($E16="Longueur ",IF($D16="MiM",VLOOKUP($J16,MiM_Concours!$D$3:$J$52,7,TRUE),FALSE))</f>
        <v>0</v>
      </c>
      <c r="S16" s="4" t="b">
        <f>IF($E16="Triple saut ",IF($D16="MiM",VLOOKUP($J16,MiM_Concours!$E$3:$J$52,6,TRUE),FALSE))</f>
        <v>0</v>
      </c>
      <c r="T16" s="11"/>
    </row>
    <row r="17" spans="1:20" ht="15">
      <c r="A17" s="60"/>
      <c r="B17" s="46"/>
      <c r="C17" s="70"/>
      <c r="D17" s="67" t="s">
        <v>54</v>
      </c>
      <c r="E17" s="37"/>
      <c r="F17" s="73"/>
      <c r="G17" s="48"/>
      <c r="H17" s="48"/>
      <c r="I17" s="48"/>
      <c r="J17" s="55">
        <f t="shared" si="0"/>
        <v>0</v>
      </c>
      <c r="K17" s="61">
        <f t="shared" si="1"/>
        <v>0</v>
      </c>
      <c r="L17" s="32" t="b">
        <f>IF($E17="Longueur ",IF($D17="BeF",VLOOKUP($J17,BeF_Concours!$D$3:$J$52,7,TRUE),FALSE))</f>
        <v>0</v>
      </c>
      <c r="M17" s="4" t="b">
        <f>IF($E17="Triple saut ",IF($D17="BeF",VLOOKUP($J17,BeF_Concours!$E$3:$J$52,6,TRUE),FALSE))</f>
        <v>0</v>
      </c>
      <c r="N17" s="4" t="b">
        <f>IF($E17="Longueur ",IF($D17="BeM",VLOOKUP($J17,BeM_Concours!$D$3:$J$52,7,TRUE),FALSE))</f>
        <v>0</v>
      </c>
      <c r="O17" s="4" t="b">
        <f>IF($E17="Triple saut ",IF($D17="BeM",VLOOKUP($J17,BeM_Concours!$E$3:$J$52,6,TRUE),FALSE))</f>
        <v>0</v>
      </c>
      <c r="P17" s="4" t="b">
        <f>IF($E17="Longueur ",IF($D17="MiF",VLOOKUP($J17,MiF_Concours!$D$3:$J$52,7,TRUE),FALSE))</f>
        <v>0</v>
      </c>
      <c r="Q17" s="4" t="b">
        <f>IF($E17="Triple saut ",IF($D17="MiF",VLOOKUP($J17,MiF_Concours!$E$3:$J$52,6,TRUE),FALSE))</f>
        <v>0</v>
      </c>
      <c r="R17" s="4" t="b">
        <f>IF($E17="Longueur ",IF($D17="MiM",VLOOKUP($J17,MiM_Concours!$D$3:$J$52,7,TRUE),FALSE))</f>
        <v>0</v>
      </c>
      <c r="S17" s="4" t="b">
        <f>IF($E17="Triple saut ",IF($D17="MiM",VLOOKUP($J17,MiM_Concours!$E$3:$J$52,6,TRUE),FALSE))</f>
        <v>0</v>
      </c>
      <c r="T17" s="11"/>
    </row>
    <row r="18" spans="1:20" ht="15">
      <c r="A18" s="60"/>
      <c r="B18" s="46"/>
      <c r="C18" s="70"/>
      <c r="D18" s="67" t="s">
        <v>54</v>
      </c>
      <c r="E18" s="37"/>
      <c r="F18" s="73"/>
      <c r="G18" s="48"/>
      <c r="H18" s="48"/>
      <c r="I18" s="48"/>
      <c r="J18" s="55">
        <f t="shared" si="0"/>
        <v>0</v>
      </c>
      <c r="K18" s="61">
        <f t="shared" si="1"/>
        <v>0</v>
      </c>
      <c r="L18" s="32" t="b">
        <f>IF($E18="Longueur ",IF($D18="BeF",VLOOKUP($J18,BeF_Concours!$D$3:$J$52,7,TRUE),FALSE))</f>
        <v>0</v>
      </c>
      <c r="M18" s="4" t="b">
        <f>IF($E18="Triple saut ",IF($D18="BeF",VLOOKUP($J18,BeF_Concours!$E$3:$J$52,6,TRUE),FALSE))</f>
        <v>0</v>
      </c>
      <c r="N18" s="4" t="b">
        <f>IF($E18="Longueur ",IF($D18="BeM",VLOOKUP($J18,BeM_Concours!$D$3:$J$52,7,TRUE),FALSE))</f>
        <v>0</v>
      </c>
      <c r="O18" s="4" t="b">
        <f>IF($E18="Triple saut ",IF($D18="BeM",VLOOKUP($J18,BeM_Concours!$E$3:$J$52,6,TRUE),FALSE))</f>
        <v>0</v>
      </c>
      <c r="P18" s="4" t="b">
        <f>IF($E18="Longueur ",IF($D18="MiF",VLOOKUP($J18,MiF_Concours!$D$3:$J$52,7,TRUE),FALSE))</f>
        <v>0</v>
      </c>
      <c r="Q18" s="4" t="b">
        <f>IF($E18="Triple saut ",IF($D18="MiF",VLOOKUP($J18,MiF_Concours!$E$3:$J$52,6,TRUE),FALSE))</f>
        <v>0</v>
      </c>
      <c r="R18" s="4" t="b">
        <f>IF($E18="Longueur ",IF($D18="MiM",VLOOKUP($J18,MiM_Concours!$D$3:$J$52,7,TRUE),FALSE))</f>
        <v>0</v>
      </c>
      <c r="S18" s="4" t="b">
        <f>IF($E18="Triple saut ",IF($D18="MiM",VLOOKUP($J18,MiM_Concours!$E$3:$J$52,6,TRUE),FALSE))</f>
        <v>0</v>
      </c>
      <c r="T18" s="11"/>
    </row>
    <row r="19" spans="1:20" ht="15">
      <c r="A19" s="60"/>
      <c r="B19" s="46"/>
      <c r="C19" s="70"/>
      <c r="D19" s="67" t="s">
        <v>54</v>
      </c>
      <c r="E19" s="37"/>
      <c r="F19" s="73"/>
      <c r="G19" s="48"/>
      <c r="H19" s="48"/>
      <c r="I19" s="48"/>
      <c r="J19" s="55">
        <f t="shared" si="0"/>
        <v>0</v>
      </c>
      <c r="K19" s="61">
        <f t="shared" si="1"/>
        <v>0</v>
      </c>
      <c r="L19" s="32" t="b">
        <f>IF($E19="Longueur ",IF($D19="BeF",VLOOKUP($J19,BeF_Concours!$D$3:$J$52,7,TRUE),FALSE))</f>
        <v>0</v>
      </c>
      <c r="M19" s="4" t="b">
        <f>IF($E19="Triple saut ",IF($D19="BeF",VLOOKUP($J19,BeF_Concours!$E$3:$J$52,6,TRUE),FALSE))</f>
        <v>0</v>
      </c>
      <c r="N19" s="4" t="b">
        <f>IF($E19="Longueur ",IF($D19="BeM",VLOOKUP($J19,BeM_Concours!$D$3:$J$52,7,TRUE),FALSE))</f>
        <v>0</v>
      </c>
      <c r="O19" s="4" t="b">
        <f>IF($E19="Triple saut ",IF($D19="BeM",VLOOKUP($J19,BeM_Concours!$E$3:$J$52,6,TRUE),FALSE))</f>
        <v>0</v>
      </c>
      <c r="P19" s="4" t="b">
        <f>IF($E19="Longueur ",IF($D19="MiF",VLOOKUP($J19,MiF_Concours!$D$3:$J$52,7,TRUE),FALSE))</f>
        <v>0</v>
      </c>
      <c r="Q19" s="4" t="b">
        <f>IF($E19="Triple saut ",IF($D19="MiF",VLOOKUP($J19,MiF_Concours!$E$3:$J$52,6,TRUE),FALSE))</f>
        <v>0</v>
      </c>
      <c r="R19" s="4" t="b">
        <f>IF($E19="Longueur ",IF($D19="MiM",VLOOKUP($J19,MiM_Concours!$D$3:$J$52,7,TRUE),FALSE))</f>
        <v>0</v>
      </c>
      <c r="S19" s="4" t="b">
        <f>IF($E19="Triple saut ",IF($D19="MiM",VLOOKUP($J19,MiM_Concours!$E$3:$J$52,6,TRUE),FALSE))</f>
        <v>0</v>
      </c>
      <c r="T19" s="11"/>
    </row>
    <row r="20" spans="1:20" ht="15">
      <c r="A20" s="60"/>
      <c r="B20" s="46"/>
      <c r="C20" s="70"/>
      <c r="D20" s="67" t="s">
        <v>54</v>
      </c>
      <c r="E20" s="37"/>
      <c r="F20" s="73"/>
      <c r="G20" s="48"/>
      <c r="H20" s="48"/>
      <c r="I20" s="48"/>
      <c r="J20" s="55">
        <f t="shared" si="0"/>
        <v>0</v>
      </c>
      <c r="K20" s="61">
        <f t="shared" si="1"/>
        <v>0</v>
      </c>
      <c r="L20" s="32" t="b">
        <f>IF($E20="Longueur ",IF($D20="BeF",VLOOKUP($J20,BeF_Concours!$D$3:$J$52,7,TRUE),FALSE))</f>
        <v>0</v>
      </c>
      <c r="M20" s="4" t="b">
        <f>IF($E20="Triple saut ",IF($D20="BeF",VLOOKUP($J20,BeF_Concours!$E$3:$J$52,6,TRUE),FALSE))</f>
        <v>0</v>
      </c>
      <c r="N20" s="4" t="b">
        <f>IF($E20="Longueur ",IF($D20="BeM",VLOOKUP($J20,BeM_Concours!$D$3:$J$52,7,TRUE),FALSE))</f>
        <v>0</v>
      </c>
      <c r="O20" s="4" t="b">
        <f>IF($E20="Triple saut ",IF($D20="BeM",VLOOKUP($J20,BeM_Concours!$E$3:$J$52,6,TRUE),FALSE))</f>
        <v>0</v>
      </c>
      <c r="P20" s="4" t="b">
        <f>IF($E20="Longueur ",IF($D20="MiF",VLOOKUP($J20,MiF_Concours!$D$3:$J$52,7,TRUE),FALSE))</f>
        <v>0</v>
      </c>
      <c r="Q20" s="4" t="b">
        <f>IF($E20="Triple saut ",IF($D20="MiF",VLOOKUP($J20,MiF_Concours!$E$3:$J$52,6,TRUE),FALSE))</f>
        <v>0</v>
      </c>
      <c r="R20" s="4" t="b">
        <f>IF($E20="Longueur ",IF($D20="MiM",VLOOKUP($J20,MiM_Concours!$D$3:$J$52,7,TRUE),FALSE))</f>
        <v>0</v>
      </c>
      <c r="S20" s="4" t="b">
        <f>IF($E20="Triple saut ",IF($D20="MiM",VLOOKUP($J20,MiM_Concours!$E$3:$J$52,6,TRUE),FALSE))</f>
        <v>0</v>
      </c>
      <c r="T20" s="11"/>
    </row>
    <row r="21" spans="1:20" ht="15">
      <c r="A21" s="60"/>
      <c r="B21" s="46"/>
      <c r="C21" s="70"/>
      <c r="D21" s="67" t="s">
        <v>54</v>
      </c>
      <c r="E21" s="37"/>
      <c r="F21" s="73"/>
      <c r="G21" s="48"/>
      <c r="H21" s="48"/>
      <c r="I21" s="48"/>
      <c r="J21" s="55">
        <f t="shared" si="0"/>
        <v>0</v>
      </c>
      <c r="K21" s="61">
        <f t="shared" si="1"/>
        <v>0</v>
      </c>
      <c r="L21" s="32" t="b">
        <f>IF($E21="Longueur ",IF($D21="BeF",VLOOKUP($J21,BeF_Concours!$D$3:$J$52,7,TRUE),FALSE))</f>
        <v>0</v>
      </c>
      <c r="M21" s="4" t="b">
        <f>IF($E21="Triple saut ",IF($D21="BeF",VLOOKUP($J21,BeF_Concours!$E$3:$J$52,6,TRUE),FALSE))</f>
        <v>0</v>
      </c>
      <c r="N21" s="4" t="b">
        <f>IF($E21="Longueur ",IF($D21="BeM",VLOOKUP($J21,BeM_Concours!$D$3:$J$52,7,TRUE),FALSE))</f>
        <v>0</v>
      </c>
      <c r="O21" s="4" t="b">
        <f>IF($E21="Triple saut ",IF($D21="BeM",VLOOKUP($J21,BeM_Concours!$E$3:$J$52,6,TRUE),FALSE))</f>
        <v>0</v>
      </c>
      <c r="P21" s="4" t="b">
        <f>IF($E21="Longueur ",IF($D21="MiF",VLOOKUP($J21,MiF_Concours!$D$3:$J$52,7,TRUE),FALSE))</f>
        <v>0</v>
      </c>
      <c r="Q21" s="4" t="b">
        <f>IF($E21="Triple saut ",IF($D21="MiF",VLOOKUP($J21,MiF_Concours!$E$3:$J$52,6,TRUE),FALSE))</f>
        <v>0</v>
      </c>
      <c r="R21" s="4" t="b">
        <f>IF($E21="Longueur ",IF($D21="MiM",VLOOKUP($J21,MiM_Concours!$D$3:$J$52,7,TRUE),FALSE))</f>
        <v>0</v>
      </c>
      <c r="S21" s="4" t="b">
        <f>IF($E21="Triple saut ",IF($D21="MiM",VLOOKUP($J21,MiM_Concours!$E$3:$J$52,6,TRUE),FALSE))</f>
        <v>0</v>
      </c>
      <c r="T21" s="11"/>
    </row>
    <row r="22" spans="1:20" ht="15">
      <c r="A22" s="60"/>
      <c r="B22" s="46"/>
      <c r="C22" s="70"/>
      <c r="D22" s="67" t="s">
        <v>54</v>
      </c>
      <c r="E22" s="37"/>
      <c r="F22" s="73"/>
      <c r="G22" s="48"/>
      <c r="H22" s="48"/>
      <c r="I22" s="48"/>
      <c r="J22" s="55">
        <f t="shared" si="0"/>
        <v>0</v>
      </c>
      <c r="K22" s="61">
        <f t="shared" si="1"/>
        <v>0</v>
      </c>
      <c r="L22" s="32" t="b">
        <f>IF($E22="Longueur ",IF($D22="BeF",VLOOKUP($J22,BeF_Concours!$D$3:$J$52,7,TRUE),FALSE))</f>
        <v>0</v>
      </c>
      <c r="M22" s="4" t="b">
        <f>IF($E22="Triple saut ",IF($D22="BeF",VLOOKUP($J22,BeF_Concours!$E$3:$J$52,6,TRUE),FALSE))</f>
        <v>0</v>
      </c>
      <c r="N22" s="4" t="b">
        <f>IF($E22="Longueur ",IF($D22="BeM",VLOOKUP($J22,BeM_Concours!$D$3:$J$52,7,TRUE),FALSE))</f>
        <v>0</v>
      </c>
      <c r="O22" s="4" t="b">
        <f>IF($E22="Triple saut ",IF($D22="BeM",VLOOKUP($J22,BeM_Concours!$E$3:$J$52,6,TRUE),FALSE))</f>
        <v>0</v>
      </c>
      <c r="P22" s="4" t="b">
        <f>IF($E22="Longueur ",IF($D22="MiF",VLOOKUP($J22,MiF_Concours!$D$3:$J$52,7,TRUE),FALSE))</f>
        <v>0</v>
      </c>
      <c r="Q22" s="4" t="b">
        <f>IF($E22="Triple saut ",IF($D22="MiF",VLOOKUP($J22,MiF_Concours!$E$3:$J$52,6,TRUE),FALSE))</f>
        <v>0</v>
      </c>
      <c r="R22" s="4" t="b">
        <f>IF($E22="Longueur ",IF($D22="MiM",VLOOKUP($J22,MiM_Concours!$D$3:$J$52,7,TRUE),FALSE))</f>
        <v>0</v>
      </c>
      <c r="S22" s="4" t="b">
        <f>IF($E22="Triple saut ",IF($D22="MiM",VLOOKUP($J22,MiM_Concours!$E$3:$J$52,6,TRUE),FALSE))</f>
        <v>0</v>
      </c>
      <c r="T22" s="11"/>
    </row>
    <row r="23" spans="1:20" ht="15">
      <c r="A23" s="60"/>
      <c r="B23" s="46"/>
      <c r="C23" s="70"/>
      <c r="D23" s="67" t="s">
        <v>54</v>
      </c>
      <c r="E23" s="37"/>
      <c r="F23" s="73"/>
      <c r="G23" s="48"/>
      <c r="H23" s="48"/>
      <c r="I23" s="48"/>
      <c r="J23" s="55">
        <f t="shared" si="0"/>
        <v>0</v>
      </c>
      <c r="K23" s="61">
        <f t="shared" si="1"/>
        <v>0</v>
      </c>
      <c r="L23" s="32" t="b">
        <f>IF($E23="Longueur ",IF($D23="BeF",VLOOKUP($J23,BeF_Concours!$D$3:$J$52,7,TRUE),FALSE))</f>
        <v>0</v>
      </c>
      <c r="M23" s="4" t="b">
        <f>IF($E23="Triple saut ",IF($D23="BeF",VLOOKUP($J23,BeF_Concours!$E$3:$J$52,6,TRUE),FALSE))</f>
        <v>0</v>
      </c>
      <c r="N23" s="4" t="b">
        <f>IF($E23="Longueur ",IF($D23="BeM",VLOOKUP($J23,BeM_Concours!$D$3:$J$52,7,TRUE),FALSE))</f>
        <v>0</v>
      </c>
      <c r="O23" s="4" t="b">
        <f>IF($E23="Triple saut ",IF($D23="BeM",VLOOKUP($J23,BeM_Concours!$E$3:$J$52,6,TRUE),FALSE))</f>
        <v>0</v>
      </c>
      <c r="P23" s="4" t="b">
        <f>IF($E23="Longueur ",IF($D23="MiF",VLOOKUP($J23,MiF_Concours!$D$3:$J$52,7,TRUE),FALSE))</f>
        <v>0</v>
      </c>
      <c r="Q23" s="4" t="b">
        <f>IF($E23="Triple saut ",IF($D23="MiF",VLOOKUP($J23,MiF_Concours!$E$3:$J$52,6,TRUE),FALSE))</f>
        <v>0</v>
      </c>
      <c r="R23" s="4" t="b">
        <f>IF($E23="Longueur ",IF($D23="MiM",VLOOKUP($J23,MiM_Concours!$D$3:$J$52,7,TRUE),FALSE))</f>
        <v>0</v>
      </c>
      <c r="S23" s="4" t="b">
        <f>IF($E23="Triple saut ",IF($D23="MiM",VLOOKUP($J23,MiM_Concours!$E$3:$J$52,6,TRUE),FALSE))</f>
        <v>0</v>
      </c>
      <c r="T23" s="11"/>
    </row>
    <row r="24" spans="1:20" ht="15">
      <c r="A24" s="60"/>
      <c r="B24" s="46"/>
      <c r="C24" s="70"/>
      <c r="D24" s="67" t="s">
        <v>54</v>
      </c>
      <c r="E24" s="37"/>
      <c r="F24" s="73"/>
      <c r="G24" s="48"/>
      <c r="H24" s="48"/>
      <c r="I24" s="48"/>
      <c r="J24" s="55">
        <f t="shared" si="0"/>
        <v>0</v>
      </c>
      <c r="K24" s="61">
        <f t="shared" si="1"/>
        <v>0</v>
      </c>
      <c r="L24" s="32" t="b">
        <f>IF($E24="Longueur ",IF($D24="BeF",VLOOKUP($J24,BeF_Concours!$D$3:$J$52,7,TRUE),FALSE))</f>
        <v>0</v>
      </c>
      <c r="M24" s="4" t="b">
        <f>IF($E24="Triple saut ",IF($D24="BeF",VLOOKUP($J24,BeF_Concours!$E$3:$J$52,6,TRUE),FALSE))</f>
        <v>0</v>
      </c>
      <c r="N24" s="4" t="b">
        <f>IF($E24="Longueur ",IF($D24="BeM",VLOOKUP($J24,BeM_Concours!$D$3:$J$52,7,TRUE),FALSE))</f>
        <v>0</v>
      </c>
      <c r="O24" s="4" t="b">
        <f>IF($E24="Triple saut ",IF($D24="BeM",VLOOKUP($J24,BeM_Concours!$E$3:$J$52,6,TRUE),FALSE))</f>
        <v>0</v>
      </c>
      <c r="P24" s="4" t="b">
        <f>IF($E24="Longueur ",IF($D24="MiF",VLOOKUP($J24,MiF_Concours!$D$3:$J$52,7,TRUE),FALSE))</f>
        <v>0</v>
      </c>
      <c r="Q24" s="4" t="b">
        <f>IF($E24="Triple saut ",IF($D24="MiF",VLOOKUP($J24,MiF_Concours!$E$3:$J$52,6,TRUE),FALSE))</f>
        <v>0</v>
      </c>
      <c r="R24" s="4" t="b">
        <f>IF($E24="Longueur ",IF($D24="MiM",VLOOKUP($J24,MiM_Concours!$D$3:$J$52,7,TRUE),FALSE))</f>
        <v>0</v>
      </c>
      <c r="S24" s="4" t="b">
        <f>IF($E24="Triple saut ",IF($D24="MiM",VLOOKUP($J24,MiM_Concours!$E$3:$J$52,6,TRUE),FALSE))</f>
        <v>0</v>
      </c>
      <c r="T24" s="11"/>
    </row>
    <row r="25" spans="1:20" ht="15">
      <c r="A25" s="60"/>
      <c r="B25" s="46"/>
      <c r="C25" s="70"/>
      <c r="D25" s="67" t="s">
        <v>54</v>
      </c>
      <c r="E25" s="37"/>
      <c r="F25" s="73"/>
      <c r="G25" s="48"/>
      <c r="H25" s="48"/>
      <c r="I25" s="48"/>
      <c r="J25" s="55">
        <f t="shared" si="0"/>
        <v>0</v>
      </c>
      <c r="K25" s="61">
        <f t="shared" si="1"/>
        <v>0</v>
      </c>
      <c r="L25" s="32" t="b">
        <f>IF($E25="Longueur ",IF($D25="BeF",VLOOKUP($J25,BeF_Concours!$D$3:$J$52,7,TRUE),FALSE))</f>
        <v>0</v>
      </c>
      <c r="M25" s="4" t="b">
        <f>IF($E25="Triple saut ",IF($D25="BeF",VLOOKUP($J25,BeF_Concours!$E$3:$J$52,6,TRUE),FALSE))</f>
        <v>0</v>
      </c>
      <c r="N25" s="4" t="b">
        <f>IF($E25="Longueur ",IF($D25="BeM",VLOOKUP($J25,BeM_Concours!$D$3:$J$52,7,TRUE),FALSE))</f>
        <v>0</v>
      </c>
      <c r="O25" s="4" t="b">
        <f>IF($E25="Triple saut ",IF($D25="BeM",VLOOKUP($J25,BeM_Concours!$E$3:$J$52,6,TRUE),FALSE))</f>
        <v>0</v>
      </c>
      <c r="P25" s="4" t="b">
        <f>IF($E25="Longueur ",IF($D25="MiF",VLOOKUP($J25,MiF_Concours!$D$3:$J$52,7,TRUE),FALSE))</f>
        <v>0</v>
      </c>
      <c r="Q25" s="4" t="b">
        <f>IF($E25="Triple saut ",IF($D25="MiF",VLOOKUP($J25,MiF_Concours!$E$3:$J$52,6,TRUE),FALSE))</f>
        <v>0</v>
      </c>
      <c r="R25" s="4" t="b">
        <f>IF($E25="Longueur ",IF($D25="MiM",VLOOKUP($J25,MiM_Concours!$D$3:$J$52,7,TRUE),FALSE))</f>
        <v>0</v>
      </c>
      <c r="S25" s="4" t="b">
        <f>IF($E25="Triple saut ",IF($D25="MiM",VLOOKUP($J25,MiM_Concours!$E$3:$J$52,6,TRUE),FALSE))</f>
        <v>0</v>
      </c>
      <c r="T25" s="11"/>
    </row>
    <row r="26" spans="1:20" ht="15">
      <c r="A26" s="60"/>
      <c r="B26" s="46"/>
      <c r="C26" s="70"/>
      <c r="D26" s="67" t="s">
        <v>54</v>
      </c>
      <c r="E26" s="37"/>
      <c r="F26" s="73"/>
      <c r="G26" s="48"/>
      <c r="H26" s="48"/>
      <c r="I26" s="48"/>
      <c r="J26" s="55">
        <f t="shared" si="0"/>
        <v>0</v>
      </c>
      <c r="K26" s="61">
        <f t="shared" si="1"/>
        <v>0</v>
      </c>
      <c r="L26" s="32" t="b">
        <f>IF($E26="Longueur ",IF($D26="BeF",VLOOKUP($J26,BeF_Concours!$D$3:$J$52,7,TRUE),FALSE))</f>
        <v>0</v>
      </c>
      <c r="M26" s="4" t="b">
        <f>IF($E26="Triple saut ",IF($D26="BeF",VLOOKUP($J26,BeF_Concours!$E$3:$J$52,6,TRUE),FALSE))</f>
        <v>0</v>
      </c>
      <c r="N26" s="4" t="b">
        <f>IF($E26="Longueur ",IF($D26="BeM",VLOOKUP($J26,BeM_Concours!$D$3:$J$52,7,TRUE),FALSE))</f>
        <v>0</v>
      </c>
      <c r="O26" s="4" t="b">
        <f>IF($E26="Triple saut ",IF($D26="BeM",VLOOKUP($J26,BeM_Concours!$E$3:$J$52,6,TRUE),FALSE))</f>
        <v>0</v>
      </c>
      <c r="P26" s="4" t="b">
        <f>IF($E26="Longueur ",IF($D26="MiF",VLOOKUP($J26,MiF_Concours!$D$3:$J$52,7,TRUE),FALSE))</f>
        <v>0</v>
      </c>
      <c r="Q26" s="4" t="b">
        <f>IF($E26="Triple saut ",IF($D26="MiF",VLOOKUP($J26,MiF_Concours!$E$3:$J$52,6,TRUE),FALSE))</f>
        <v>0</v>
      </c>
      <c r="R26" s="4" t="b">
        <f>IF($E26="Longueur ",IF($D26="MiM",VLOOKUP($J26,MiM_Concours!$D$3:$J$52,7,TRUE),FALSE))</f>
        <v>0</v>
      </c>
      <c r="S26" s="4" t="b">
        <f>IF($E26="Triple saut ",IF($D26="MiM",VLOOKUP($J26,MiM_Concours!$E$3:$J$52,6,TRUE),FALSE))</f>
        <v>0</v>
      </c>
      <c r="T26" s="11"/>
    </row>
    <row r="27" spans="1:20" ht="15">
      <c r="A27" s="60"/>
      <c r="B27" s="46"/>
      <c r="C27" s="70"/>
      <c r="D27" s="67" t="s">
        <v>54</v>
      </c>
      <c r="E27" s="37"/>
      <c r="F27" s="73"/>
      <c r="G27" s="48"/>
      <c r="H27" s="48"/>
      <c r="I27" s="48"/>
      <c r="J27" s="55">
        <f t="shared" si="0"/>
        <v>0</v>
      </c>
      <c r="K27" s="61">
        <f t="shared" si="1"/>
        <v>0</v>
      </c>
      <c r="L27" s="32" t="b">
        <f>IF($E27="Longueur ",IF($D27="BeF",VLOOKUP($J27,BeF_Concours!$D$3:$J$52,7,TRUE),FALSE))</f>
        <v>0</v>
      </c>
      <c r="M27" s="4" t="b">
        <f>IF($E27="Triple saut ",IF($D27="BeF",VLOOKUP($J27,BeF_Concours!$E$3:$J$52,6,TRUE),FALSE))</f>
        <v>0</v>
      </c>
      <c r="N27" s="4" t="b">
        <f>IF($E27="Longueur ",IF($D27="BeM",VLOOKUP($J27,BeM_Concours!$D$3:$J$52,7,TRUE),FALSE))</f>
        <v>0</v>
      </c>
      <c r="O27" s="4" t="b">
        <f>IF($E27="Triple saut ",IF($D27="BeM",VLOOKUP($J27,BeM_Concours!$E$3:$J$52,6,TRUE),FALSE))</f>
        <v>0</v>
      </c>
      <c r="P27" s="4" t="b">
        <f>IF($E27="Longueur ",IF($D27="MiF",VLOOKUP($J27,MiF_Concours!$D$3:$J$52,7,TRUE),FALSE))</f>
        <v>0</v>
      </c>
      <c r="Q27" s="4" t="b">
        <f>IF($E27="Triple saut ",IF($D27="MiF",VLOOKUP($J27,MiF_Concours!$E$3:$J$52,6,TRUE),FALSE))</f>
        <v>0</v>
      </c>
      <c r="R27" s="4" t="b">
        <f>IF($E27="Longueur ",IF($D27="MiM",VLOOKUP($J27,MiM_Concours!$D$3:$J$52,7,TRUE),FALSE))</f>
        <v>0</v>
      </c>
      <c r="S27" s="4" t="b">
        <f>IF($E27="Triple saut ",IF($D27="MiM",VLOOKUP($J27,MiM_Concours!$E$3:$J$52,6,TRUE),FALSE))</f>
        <v>0</v>
      </c>
      <c r="T27" s="11"/>
    </row>
    <row r="28" spans="1:20" ht="15">
      <c r="A28" s="60"/>
      <c r="B28" s="46"/>
      <c r="C28" s="70"/>
      <c r="D28" s="67" t="s">
        <v>54</v>
      </c>
      <c r="E28" s="37"/>
      <c r="F28" s="73"/>
      <c r="G28" s="48"/>
      <c r="H28" s="48"/>
      <c r="I28" s="48"/>
      <c r="J28" s="55">
        <f t="shared" si="0"/>
        <v>0</v>
      </c>
      <c r="K28" s="61">
        <f t="shared" si="1"/>
        <v>0</v>
      </c>
      <c r="L28" s="32" t="b">
        <f>IF($E28="Longueur ",IF($D28="BeF",VLOOKUP($J28,BeF_Concours!$D$3:$J$52,7,TRUE),FALSE))</f>
        <v>0</v>
      </c>
      <c r="M28" s="4" t="b">
        <f>IF($E28="Triple saut ",IF($D28="BeF",VLOOKUP($J28,BeF_Concours!$E$3:$J$52,6,TRUE),FALSE))</f>
        <v>0</v>
      </c>
      <c r="N28" s="4" t="b">
        <f>IF($E28="Longueur ",IF($D28="BeM",VLOOKUP($J28,BeM_Concours!$D$3:$J$52,7,TRUE),FALSE))</f>
        <v>0</v>
      </c>
      <c r="O28" s="4" t="b">
        <f>IF($E28="Triple saut ",IF($D28="BeM",VLOOKUP($J28,BeM_Concours!$E$3:$J$52,6,TRUE),FALSE))</f>
        <v>0</v>
      </c>
      <c r="P28" s="4" t="b">
        <f>IF($E28="Longueur ",IF($D28="MiF",VLOOKUP($J28,MiF_Concours!$D$3:$J$52,7,TRUE),FALSE))</f>
        <v>0</v>
      </c>
      <c r="Q28" s="4" t="b">
        <f>IF($E28="Triple saut ",IF($D28="MiF",VLOOKUP($J28,MiF_Concours!$E$3:$J$52,6,TRUE),FALSE))</f>
        <v>0</v>
      </c>
      <c r="R28" s="4" t="b">
        <f>IF($E28="Longueur ",IF($D28="MiM",VLOOKUP($J28,MiM_Concours!$D$3:$J$52,7,TRUE),FALSE))</f>
        <v>0</v>
      </c>
      <c r="S28" s="4" t="b">
        <f>IF($E28="Triple saut ",IF($D28="MiM",VLOOKUP($J28,MiM_Concours!$E$3:$J$52,6,TRUE),FALSE))</f>
        <v>0</v>
      </c>
      <c r="T28" s="11"/>
    </row>
    <row r="29" spans="1:20" ht="15">
      <c r="A29" s="60"/>
      <c r="B29" s="46"/>
      <c r="C29" s="70"/>
      <c r="D29" s="67" t="s">
        <v>54</v>
      </c>
      <c r="E29" s="37"/>
      <c r="F29" s="73"/>
      <c r="G29" s="48"/>
      <c r="H29" s="48"/>
      <c r="I29" s="48"/>
      <c r="J29" s="55">
        <f t="shared" si="0"/>
        <v>0</v>
      </c>
      <c r="K29" s="61">
        <f t="shared" si="1"/>
        <v>0</v>
      </c>
      <c r="L29" s="32" t="b">
        <f>IF($E29="Longueur ",IF($D29="BeF",VLOOKUP($J29,BeF_Concours!$D$3:$J$52,7,TRUE),FALSE))</f>
        <v>0</v>
      </c>
      <c r="M29" s="4" t="b">
        <f>IF($E29="Triple saut ",IF($D29="BeF",VLOOKUP($J29,BeF_Concours!$E$3:$J$52,6,TRUE),FALSE))</f>
        <v>0</v>
      </c>
      <c r="N29" s="4" t="b">
        <f>IF($E29="Longueur ",IF($D29="BeM",VLOOKUP($J29,BeM_Concours!$D$3:$J$52,7,TRUE),FALSE))</f>
        <v>0</v>
      </c>
      <c r="O29" s="4" t="b">
        <f>IF($E29="Triple saut ",IF($D29="BeM",VLOOKUP($J29,BeM_Concours!$E$3:$J$52,6,TRUE),FALSE))</f>
        <v>0</v>
      </c>
      <c r="P29" s="4" t="b">
        <f>IF($E29="Longueur ",IF($D29="MiF",VLOOKUP($J29,MiF_Concours!$D$3:$J$52,7,TRUE),FALSE))</f>
        <v>0</v>
      </c>
      <c r="Q29" s="4" t="b">
        <f>IF($E29="Triple saut ",IF($D29="MiF",VLOOKUP($J29,MiF_Concours!$E$3:$J$52,6,TRUE),FALSE))</f>
        <v>0</v>
      </c>
      <c r="R29" s="4" t="b">
        <f>IF($E29="Longueur ",IF($D29="MiM",VLOOKUP($J29,MiM_Concours!$D$3:$J$52,7,TRUE),FALSE))</f>
        <v>0</v>
      </c>
      <c r="S29" s="4" t="b">
        <f>IF($E29="Triple saut ",IF($D29="MiM",VLOOKUP($J29,MiM_Concours!$E$3:$J$52,6,TRUE),FALSE))</f>
        <v>0</v>
      </c>
      <c r="T29" s="11"/>
    </row>
    <row r="30" spans="1:20" ht="15">
      <c r="A30" s="60"/>
      <c r="B30" s="46"/>
      <c r="C30" s="70"/>
      <c r="D30" s="67" t="s">
        <v>54</v>
      </c>
      <c r="E30" s="37"/>
      <c r="F30" s="73"/>
      <c r="G30" s="48"/>
      <c r="H30" s="48"/>
      <c r="I30" s="48"/>
      <c r="J30" s="55">
        <f t="shared" si="0"/>
        <v>0</v>
      </c>
      <c r="K30" s="61">
        <f t="shared" si="1"/>
        <v>0</v>
      </c>
      <c r="L30" s="32" t="b">
        <f>IF($E30="Longueur ",IF($D30="BeF",VLOOKUP($J30,BeF_Concours!$D$3:$J$52,7,TRUE),FALSE))</f>
        <v>0</v>
      </c>
      <c r="M30" s="4" t="b">
        <f>IF($E30="Triple saut ",IF($D30="BeF",VLOOKUP($J30,BeF_Concours!$E$3:$J$52,6,TRUE),FALSE))</f>
        <v>0</v>
      </c>
      <c r="N30" s="4" t="b">
        <f>IF($E30="Longueur ",IF($D30="BeM",VLOOKUP($J30,BeM_Concours!$D$3:$J$52,7,TRUE),FALSE))</f>
        <v>0</v>
      </c>
      <c r="O30" s="4" t="b">
        <f>IF($E30="Triple saut ",IF($D30="BeM",VLOOKUP($J30,BeM_Concours!$E$3:$J$52,6,TRUE),FALSE))</f>
        <v>0</v>
      </c>
      <c r="P30" s="4" t="b">
        <f>IF($E30="Longueur ",IF($D30="MiF",VLOOKUP($J30,MiF_Concours!$D$3:$J$52,7,TRUE),FALSE))</f>
        <v>0</v>
      </c>
      <c r="Q30" s="4" t="b">
        <f>IF($E30="Triple saut ",IF($D30="MiF",VLOOKUP($J30,MiF_Concours!$E$3:$J$52,6,TRUE),FALSE))</f>
        <v>0</v>
      </c>
      <c r="R30" s="4" t="b">
        <f>IF($E30="Longueur ",IF($D30="MiM",VLOOKUP($J30,MiM_Concours!$D$3:$J$52,7,TRUE),FALSE))</f>
        <v>0</v>
      </c>
      <c r="S30" s="4" t="b">
        <f>IF($E30="Triple saut ",IF($D30="MiM",VLOOKUP($J30,MiM_Concours!$E$3:$J$52,6,TRUE),FALSE))</f>
        <v>0</v>
      </c>
      <c r="T30" s="11"/>
    </row>
    <row r="31" spans="1:20" ht="15">
      <c r="A31" s="60"/>
      <c r="B31" s="46"/>
      <c r="C31" s="70"/>
      <c r="D31" s="67" t="s">
        <v>54</v>
      </c>
      <c r="E31" s="37"/>
      <c r="F31" s="73"/>
      <c r="G31" s="48"/>
      <c r="H31" s="48"/>
      <c r="I31" s="48"/>
      <c r="J31" s="55">
        <f t="shared" si="0"/>
        <v>0</v>
      </c>
      <c r="K31" s="61">
        <f t="shared" si="1"/>
        <v>0</v>
      </c>
      <c r="L31" s="32" t="b">
        <f>IF($E31="Longueur ",IF($D31="BeF",VLOOKUP($J31,BeF_Concours!$D$3:$J$52,7,TRUE),FALSE))</f>
        <v>0</v>
      </c>
      <c r="M31" s="4" t="b">
        <f>IF($E31="Triple saut ",IF($D31="BeF",VLOOKUP($J31,BeF_Concours!$E$3:$J$52,6,TRUE),FALSE))</f>
        <v>0</v>
      </c>
      <c r="N31" s="4" t="b">
        <f>IF($E31="Longueur ",IF($D31="BeM",VLOOKUP($J31,BeM_Concours!$D$3:$J$52,7,TRUE),FALSE))</f>
        <v>0</v>
      </c>
      <c r="O31" s="4" t="b">
        <f>IF($E31="Triple saut ",IF($D31="BeM",VLOOKUP($J31,BeM_Concours!$E$3:$J$52,6,TRUE),FALSE))</f>
        <v>0</v>
      </c>
      <c r="P31" s="4" t="b">
        <f>IF($E31="Longueur ",IF($D31="MiF",VLOOKUP($J31,MiF_Concours!$D$3:$J$52,7,TRUE),FALSE))</f>
        <v>0</v>
      </c>
      <c r="Q31" s="4" t="b">
        <f>IF($E31="Triple saut ",IF($D31="MiF",VLOOKUP($J31,MiF_Concours!$E$3:$J$52,6,TRUE),FALSE))</f>
        <v>0</v>
      </c>
      <c r="R31" s="4" t="b">
        <f>IF($E31="Longueur ",IF($D31="MiM",VLOOKUP($J31,MiM_Concours!$D$3:$J$52,7,TRUE),FALSE))</f>
        <v>0</v>
      </c>
      <c r="S31" s="4" t="b">
        <f>IF($E31="Triple saut ",IF($D31="MiM",VLOOKUP($J31,MiM_Concours!$E$3:$J$52,6,TRUE),FALSE))</f>
        <v>0</v>
      </c>
      <c r="T31" s="11"/>
    </row>
    <row r="32" spans="1:20" ht="15">
      <c r="A32" s="60"/>
      <c r="B32" s="46"/>
      <c r="C32" s="70"/>
      <c r="D32" s="67" t="s">
        <v>54</v>
      </c>
      <c r="E32" s="37"/>
      <c r="F32" s="73"/>
      <c r="G32" s="48"/>
      <c r="H32" s="48"/>
      <c r="I32" s="48"/>
      <c r="J32" s="55">
        <f t="shared" si="0"/>
        <v>0</v>
      </c>
      <c r="K32" s="61">
        <f t="shared" si="1"/>
        <v>0</v>
      </c>
      <c r="L32" s="32" t="b">
        <f>IF($E32="Longueur ",IF($D32="BeF",VLOOKUP($J32,BeF_Concours!$D$3:$J$52,7,TRUE),FALSE))</f>
        <v>0</v>
      </c>
      <c r="M32" s="4" t="b">
        <f>IF($E32="Triple saut ",IF($D32="BeF",VLOOKUP($J32,BeF_Concours!$E$3:$J$52,6,TRUE),FALSE))</f>
        <v>0</v>
      </c>
      <c r="N32" s="4" t="b">
        <f>IF($E32="Longueur ",IF($D32="BeM",VLOOKUP($J32,BeM_Concours!$D$3:$J$52,7,TRUE),FALSE))</f>
        <v>0</v>
      </c>
      <c r="O32" s="4" t="b">
        <f>IF($E32="Triple saut ",IF($D32="BeM",VLOOKUP($J32,BeM_Concours!$E$3:$J$52,6,TRUE),FALSE))</f>
        <v>0</v>
      </c>
      <c r="P32" s="4" t="b">
        <f>IF($E32="Longueur ",IF($D32="MiF",VLOOKUP($J32,MiF_Concours!$D$3:$J$52,7,TRUE),FALSE))</f>
        <v>0</v>
      </c>
      <c r="Q32" s="4" t="b">
        <f>IF($E32="Triple saut ",IF($D32="MiF",VLOOKUP($J32,MiF_Concours!$E$3:$J$52,6,TRUE),FALSE))</f>
        <v>0</v>
      </c>
      <c r="R32" s="4" t="b">
        <f>IF($E32="Longueur ",IF($D32="MiM",VLOOKUP($J32,MiM_Concours!$D$3:$J$52,7,TRUE),FALSE))</f>
        <v>0</v>
      </c>
      <c r="S32" s="4" t="b">
        <f>IF($E32="Triple saut ",IF($D32="MiM",VLOOKUP($J32,MiM_Concours!$E$3:$J$52,6,TRUE),FALSE))</f>
        <v>0</v>
      </c>
      <c r="T32" s="11"/>
    </row>
    <row r="33" spans="1:20" ht="15">
      <c r="A33" s="60"/>
      <c r="B33" s="46"/>
      <c r="C33" s="70"/>
      <c r="D33" s="67" t="s">
        <v>54</v>
      </c>
      <c r="E33" s="37"/>
      <c r="F33" s="73"/>
      <c r="G33" s="48"/>
      <c r="H33" s="48"/>
      <c r="I33" s="48"/>
      <c r="J33" s="55">
        <f t="shared" si="0"/>
        <v>0</v>
      </c>
      <c r="K33" s="61">
        <f t="shared" si="1"/>
        <v>0</v>
      </c>
      <c r="L33" s="32" t="b">
        <f>IF($E33="Longueur ",IF($D33="BeF",VLOOKUP($J33,BeF_Concours!$D$3:$J$52,7,TRUE),FALSE))</f>
        <v>0</v>
      </c>
      <c r="M33" s="4" t="b">
        <f>IF($E33="Triple saut ",IF($D33="BeF",VLOOKUP($J33,BeF_Concours!$E$3:$J$52,6,TRUE),FALSE))</f>
        <v>0</v>
      </c>
      <c r="N33" s="4" t="b">
        <f>IF($E33="Longueur ",IF($D33="BeM",VLOOKUP($J33,BeM_Concours!$D$3:$J$52,7,TRUE),FALSE))</f>
        <v>0</v>
      </c>
      <c r="O33" s="4" t="b">
        <f>IF($E33="Triple saut ",IF($D33="BeM",VLOOKUP($J33,BeM_Concours!$E$3:$J$52,6,TRUE),FALSE))</f>
        <v>0</v>
      </c>
      <c r="P33" s="4" t="b">
        <f>IF($E33="Longueur ",IF($D33="MiF",VLOOKUP($J33,MiF_Concours!$D$3:$J$52,7,TRUE),FALSE))</f>
        <v>0</v>
      </c>
      <c r="Q33" s="4" t="b">
        <f>IF($E33="Triple saut ",IF($D33="MiF",VLOOKUP($J33,MiF_Concours!$E$3:$J$52,6,TRUE),FALSE))</f>
        <v>0</v>
      </c>
      <c r="R33" s="4" t="b">
        <f>IF($E33="Longueur ",IF($D33="MiM",VLOOKUP($J33,MiM_Concours!$D$3:$J$52,7,TRUE),FALSE))</f>
        <v>0</v>
      </c>
      <c r="S33" s="4" t="b">
        <f>IF($E33="Triple saut ",IF($D33="MiM",VLOOKUP($J33,MiM_Concours!$E$3:$J$52,6,TRUE),FALSE))</f>
        <v>0</v>
      </c>
      <c r="T33" s="11"/>
    </row>
    <row r="34" spans="1:20" ht="15">
      <c r="A34" s="60"/>
      <c r="B34" s="46"/>
      <c r="C34" s="70"/>
      <c r="D34" s="67" t="s">
        <v>54</v>
      </c>
      <c r="E34" s="37"/>
      <c r="F34" s="73"/>
      <c r="G34" s="48"/>
      <c r="H34" s="48"/>
      <c r="I34" s="48"/>
      <c r="J34" s="55">
        <f t="shared" si="0"/>
        <v>0</v>
      </c>
      <c r="K34" s="61">
        <f t="shared" si="1"/>
        <v>0</v>
      </c>
      <c r="L34" s="32" t="b">
        <f>IF($E34="Longueur ",IF($D34="BeF",VLOOKUP($J34,BeF_Concours!$D$3:$J$52,7,TRUE),FALSE))</f>
        <v>0</v>
      </c>
      <c r="M34" s="4" t="b">
        <f>IF($E34="Triple saut ",IF($D34="BeF",VLOOKUP($J34,BeF_Concours!$E$3:$J$52,6,TRUE),FALSE))</f>
        <v>0</v>
      </c>
      <c r="N34" s="4" t="b">
        <f>IF($E34="Longueur ",IF($D34="BeM",VLOOKUP($J34,BeM_Concours!$D$3:$J$52,7,TRUE),FALSE))</f>
        <v>0</v>
      </c>
      <c r="O34" s="4" t="b">
        <f>IF($E34="Triple saut ",IF($D34="BeM",VLOOKUP($J34,BeM_Concours!$E$3:$J$52,6,TRUE),FALSE))</f>
        <v>0</v>
      </c>
      <c r="P34" s="4" t="b">
        <f>IF($E34="Longueur ",IF($D34="MiF",VLOOKUP($J34,MiF_Concours!$D$3:$J$52,7,TRUE),FALSE))</f>
        <v>0</v>
      </c>
      <c r="Q34" s="4" t="b">
        <f>IF($E34="Triple saut ",IF($D34="MiF",VLOOKUP($J34,MiF_Concours!$E$3:$J$52,6,TRUE),FALSE))</f>
        <v>0</v>
      </c>
      <c r="R34" s="4" t="b">
        <f>IF($E34="Longueur ",IF($D34="MiM",VLOOKUP($J34,MiM_Concours!$D$3:$J$52,7,TRUE),FALSE))</f>
        <v>0</v>
      </c>
      <c r="S34" s="4" t="b">
        <f>IF($E34="Triple saut ",IF($D34="MiM",VLOOKUP($J34,MiM_Concours!$E$3:$J$52,6,TRUE),FALSE))</f>
        <v>0</v>
      </c>
      <c r="T34" s="11"/>
    </row>
    <row r="35" spans="1:20" ht="15">
      <c r="A35" s="60"/>
      <c r="B35" s="46"/>
      <c r="C35" s="70"/>
      <c r="D35" s="67" t="s">
        <v>54</v>
      </c>
      <c r="E35" s="37"/>
      <c r="F35" s="73"/>
      <c r="G35" s="48"/>
      <c r="H35" s="48"/>
      <c r="I35" s="48"/>
      <c r="J35" s="55">
        <f t="shared" si="0"/>
        <v>0</v>
      </c>
      <c r="K35" s="61">
        <f t="shared" si="1"/>
        <v>0</v>
      </c>
      <c r="L35" s="32" t="b">
        <f>IF($E35="Longueur ",IF($D35="BeF",VLOOKUP($J35,BeF_Concours!$D$3:$J$52,7,TRUE),FALSE))</f>
        <v>0</v>
      </c>
      <c r="M35" s="4" t="b">
        <f>IF($E35="Triple saut ",IF($D35="BeF",VLOOKUP($J35,BeF_Concours!$E$3:$J$52,6,TRUE),FALSE))</f>
        <v>0</v>
      </c>
      <c r="N35" s="4" t="b">
        <f>IF($E35="Longueur ",IF($D35="BeM",VLOOKUP($J35,BeM_Concours!$D$3:$J$52,7,TRUE),FALSE))</f>
        <v>0</v>
      </c>
      <c r="O35" s="4" t="b">
        <f>IF($E35="Triple saut ",IF($D35="BeM",VLOOKUP($J35,BeM_Concours!$E$3:$J$52,6,TRUE),FALSE))</f>
        <v>0</v>
      </c>
      <c r="P35" s="4" t="b">
        <f>IF($E35="Longueur ",IF($D35="MiF",VLOOKUP($J35,MiF_Concours!$D$3:$J$52,7,TRUE),FALSE))</f>
        <v>0</v>
      </c>
      <c r="Q35" s="4" t="b">
        <f>IF($E35="Triple saut ",IF($D35="MiF",VLOOKUP($J35,MiF_Concours!$E$3:$J$52,6,TRUE),FALSE))</f>
        <v>0</v>
      </c>
      <c r="R35" s="4" t="b">
        <f>IF($E35="Longueur ",IF($D35="MiM",VLOOKUP($J35,MiM_Concours!$D$3:$J$52,7,TRUE),FALSE))</f>
        <v>0</v>
      </c>
      <c r="S35" s="4" t="b">
        <f>IF($E35="Triple saut ",IF($D35="MiM",VLOOKUP($J35,MiM_Concours!$E$3:$J$52,6,TRUE),FALSE))</f>
        <v>0</v>
      </c>
      <c r="T35" s="11"/>
    </row>
    <row r="36" spans="1:20" ht="15">
      <c r="A36" s="60"/>
      <c r="B36" s="46"/>
      <c r="C36" s="70"/>
      <c r="D36" s="67" t="s">
        <v>54</v>
      </c>
      <c r="E36" s="37"/>
      <c r="F36" s="73"/>
      <c r="G36" s="48"/>
      <c r="H36" s="48"/>
      <c r="I36" s="48"/>
      <c r="J36" s="55">
        <f t="shared" si="0"/>
        <v>0</v>
      </c>
      <c r="K36" s="61">
        <f t="shared" si="1"/>
        <v>0</v>
      </c>
      <c r="L36" s="32" t="b">
        <f>IF($E36="Longueur ",IF($D36="BeF",VLOOKUP($J36,BeF_Concours!$D$3:$J$52,7,TRUE),FALSE))</f>
        <v>0</v>
      </c>
      <c r="M36" s="4" t="b">
        <f>IF($E36="Triple saut ",IF($D36="BeF",VLOOKUP($J36,BeF_Concours!$E$3:$J$52,6,TRUE),FALSE))</f>
        <v>0</v>
      </c>
      <c r="N36" s="4" t="b">
        <f>IF($E36="Longueur ",IF($D36="BeM",VLOOKUP($J36,BeM_Concours!$D$3:$J$52,7,TRUE),FALSE))</f>
        <v>0</v>
      </c>
      <c r="O36" s="4" t="b">
        <f>IF($E36="Triple saut ",IF($D36="BeM",VLOOKUP($J36,BeM_Concours!$E$3:$J$52,6,TRUE),FALSE))</f>
        <v>0</v>
      </c>
      <c r="P36" s="4" t="b">
        <f>IF($E36="Longueur ",IF($D36="MiF",VLOOKUP($J36,MiF_Concours!$D$3:$J$52,7,TRUE),FALSE))</f>
        <v>0</v>
      </c>
      <c r="Q36" s="4" t="b">
        <f>IF($E36="Triple saut ",IF($D36="MiF",VLOOKUP($J36,MiF_Concours!$E$3:$J$52,6,TRUE),FALSE))</f>
        <v>0</v>
      </c>
      <c r="R36" s="4" t="b">
        <f>IF($E36="Longueur ",IF($D36="MiM",VLOOKUP($J36,MiM_Concours!$D$3:$J$52,7,TRUE),FALSE))</f>
        <v>0</v>
      </c>
      <c r="S36" s="4" t="b">
        <f>IF($E36="Triple saut ",IF($D36="MiM",VLOOKUP($J36,MiM_Concours!$E$3:$J$52,6,TRUE),FALSE))</f>
        <v>0</v>
      </c>
      <c r="T36" s="11"/>
    </row>
    <row r="37" spans="1:20" ht="15.75" thickBot="1">
      <c r="A37" s="62"/>
      <c r="B37" s="63"/>
      <c r="C37" s="71"/>
      <c r="D37" s="68" t="s">
        <v>55</v>
      </c>
      <c r="E37" s="39"/>
      <c r="F37" s="84"/>
      <c r="G37" s="89"/>
      <c r="H37" s="89"/>
      <c r="I37" s="89"/>
      <c r="J37" s="64">
        <f t="shared" si="0"/>
        <v>0</v>
      </c>
      <c r="K37" s="61">
        <f t="shared" si="1"/>
        <v>0</v>
      </c>
      <c r="L37" s="32" t="b">
        <f>IF($E37="Longueur ",IF($D37="BeF",VLOOKUP($J37,BeF_Concours!$D$3:$J$52,7,TRUE),FALSE))</f>
        <v>0</v>
      </c>
      <c r="M37" s="4" t="b">
        <f>IF($E37="Triple saut ",IF($D37="BeF",VLOOKUP($J37,BeF_Concours!$E$3:$J$52,6,TRUE),FALSE))</f>
        <v>0</v>
      </c>
      <c r="N37" s="4" t="b">
        <f>IF($E37="Longueur ",IF($D37="BeM",VLOOKUP($J37,BeM_Concours!$D$3:$J$52,7,TRUE),FALSE))</f>
        <v>0</v>
      </c>
      <c r="O37" s="4" t="b">
        <f>IF($E37="Triple saut ",IF($D37="BeM",VLOOKUP($J37,BeM_Concours!$E$3:$J$52,6,TRUE),FALSE))</f>
        <v>0</v>
      </c>
      <c r="P37" s="4" t="b">
        <f>IF($E37="Longueur ",IF($D37="MiF",VLOOKUP($J37,MiF_Concours!$D$3:$J$52,7,TRUE),FALSE))</f>
        <v>0</v>
      </c>
      <c r="Q37" s="4" t="b">
        <f>IF($E37="Triple saut ",IF($D37="MiF",VLOOKUP($J37,MiF_Concours!$E$3:$J$52,6,TRUE),FALSE))</f>
        <v>0</v>
      </c>
      <c r="R37" s="4" t="b">
        <f>IF($E37="Longueur ",IF($D37="MiM",VLOOKUP($J37,MiM_Concours!$D$3:$J$52,7,TRUE),FALSE))</f>
        <v>0</v>
      </c>
      <c r="S37" s="4" t="b">
        <f>IF($E37="Triple saut ",IF($D37="MiM",VLOOKUP($J37,MiM_Concours!$E$3:$J$52,6,TRUE),FALSE))</f>
        <v>0</v>
      </c>
      <c r="T37" s="11"/>
    </row>
  </sheetData>
  <sheetProtection password="D2F3" sheet="1" objects="1" scenarios="1" selectLockedCells="1"/>
  <mergeCells count="10">
    <mergeCell ref="A2:K2"/>
    <mergeCell ref="C3:F3"/>
    <mergeCell ref="H3:K3"/>
    <mergeCell ref="B4:B5"/>
    <mergeCell ref="C4:F5"/>
    <mergeCell ref="G4:H4"/>
    <mergeCell ref="I4:J4"/>
    <mergeCell ref="G5:H5"/>
    <mergeCell ref="I5:J5"/>
    <mergeCell ref="K4:K5"/>
  </mergeCells>
  <dataValidations count="3">
    <dataValidation type="list" allowBlank="1" showInputMessage="1" showErrorMessage="1" sqref="E7:E37">
      <formula1>$M$2:$M$4</formula1>
    </dataValidation>
    <dataValidation type="list" allowBlank="1" showInputMessage="1" showErrorMessage="1" sqref="B3">
      <formula1>$M$1:$M$5</formula1>
    </dataValidation>
    <dataValidation type="list" allowBlank="1" showInputMessage="1" showErrorMessage="1" sqref="D7:D37">
      <formula1>$R$4:$R$5</formula1>
    </dataValidation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landscape" paperSize="256" scale="75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37"/>
  <sheetViews>
    <sheetView workbookViewId="0" topLeftCell="A3">
      <selection activeCell="A7" sqref="A7:C37"/>
    </sheetView>
  </sheetViews>
  <sheetFormatPr defaultColWidth="11.421875" defaultRowHeight="15"/>
  <cols>
    <col min="1" max="2" width="18.28125" style="0" customWidth="1"/>
    <col min="3" max="3" width="20.140625" style="0" customWidth="1"/>
    <col min="4" max="5" width="18.00390625" style="2" customWidth="1"/>
    <col min="6" max="6" width="14.8515625" style="2" customWidth="1"/>
    <col min="7" max="16" width="8.7109375" style="0" customWidth="1"/>
    <col min="17" max="17" width="12.57421875" style="0" customWidth="1"/>
    <col min="18" max="18" width="13.8515625" style="2" bestFit="1" customWidth="1"/>
    <col min="19" max="19" width="11.421875" style="11" hidden="1" customWidth="1"/>
    <col min="20" max="26" width="11.421875" style="0" hidden="1" customWidth="1"/>
  </cols>
  <sheetData>
    <row r="1" spans="1:27" ht="180.75" customHeight="1" thickBot="1">
      <c r="A1" s="5"/>
      <c r="B1" s="6"/>
      <c r="C1" s="6"/>
      <c r="D1" s="99"/>
      <c r="E1" s="99"/>
      <c r="F1" s="99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99"/>
      <c r="S1" s="5"/>
      <c r="AA1" s="11"/>
    </row>
    <row r="2" spans="1:27" ht="24" thickBot="1">
      <c r="A2" s="240" t="s">
        <v>108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54"/>
      <c r="T2" t="s">
        <v>193</v>
      </c>
      <c r="U2" t="s">
        <v>194</v>
      </c>
      <c r="Y2" t="s">
        <v>52</v>
      </c>
      <c r="AA2" s="11"/>
    </row>
    <row r="3" spans="1:27" ht="15.75" thickBot="1">
      <c r="A3" s="21" t="s">
        <v>195</v>
      </c>
      <c r="B3" s="22"/>
      <c r="C3" s="252" t="str">
        <f>IF(B3="Hauteur ",U2,IF(B3="Perche ",U4," "))</f>
        <v/>
      </c>
      <c r="D3" s="253"/>
      <c r="E3" s="253"/>
      <c r="F3" s="253"/>
      <c r="G3" s="253"/>
      <c r="H3" s="254"/>
      <c r="I3" s="254"/>
      <c r="J3" s="254"/>
      <c r="K3" s="254"/>
      <c r="L3" s="255"/>
      <c r="M3" s="23" t="s">
        <v>62</v>
      </c>
      <c r="N3" s="206"/>
      <c r="O3" s="206"/>
      <c r="P3" s="206"/>
      <c r="Q3" s="206"/>
      <c r="R3" s="207"/>
      <c r="U3" t="s">
        <v>10</v>
      </c>
      <c r="Y3" t="s">
        <v>53</v>
      </c>
      <c r="AA3" s="11"/>
    </row>
    <row r="4" spans="1:27" ht="15">
      <c r="A4" s="115" t="s">
        <v>0</v>
      </c>
      <c r="B4" s="256" t="s">
        <v>61</v>
      </c>
      <c r="C4" s="258"/>
      <c r="D4" s="259"/>
      <c r="E4" s="259"/>
      <c r="F4" s="259"/>
      <c r="G4" s="259"/>
      <c r="H4" s="260"/>
      <c r="I4" s="260"/>
      <c r="J4" s="260"/>
      <c r="K4" s="260"/>
      <c r="L4" s="260"/>
      <c r="M4" s="261"/>
      <c r="N4" s="266" t="s">
        <v>1</v>
      </c>
      <c r="O4" s="267"/>
      <c r="P4" s="217" t="s">
        <v>2</v>
      </c>
      <c r="Q4" s="218"/>
      <c r="R4" s="10"/>
      <c r="T4" t="s">
        <v>196</v>
      </c>
      <c r="U4" t="s">
        <v>197</v>
      </c>
      <c r="Y4" t="s">
        <v>54</v>
      </c>
      <c r="AA4" s="11"/>
    </row>
    <row r="5" spans="1:27" ht="15.75" thickBot="1">
      <c r="A5" s="24"/>
      <c r="B5" s="257"/>
      <c r="C5" s="262"/>
      <c r="D5" s="263"/>
      <c r="E5" s="263"/>
      <c r="F5" s="263"/>
      <c r="G5" s="263"/>
      <c r="H5" s="264"/>
      <c r="I5" s="264"/>
      <c r="J5" s="264"/>
      <c r="K5" s="264"/>
      <c r="L5" s="264"/>
      <c r="M5" s="265"/>
      <c r="N5" s="221"/>
      <c r="O5" s="222"/>
      <c r="P5" s="221"/>
      <c r="Q5" s="222"/>
      <c r="R5" s="10"/>
      <c r="U5" t="s">
        <v>10</v>
      </c>
      <c r="Y5" t="s">
        <v>55</v>
      </c>
      <c r="AA5" s="11"/>
    </row>
    <row r="6" spans="1:27" ht="30" customHeight="1" thickBot="1">
      <c r="A6" s="19" t="s">
        <v>3</v>
      </c>
      <c r="B6" s="20" t="s">
        <v>4</v>
      </c>
      <c r="C6" s="20" t="s">
        <v>5</v>
      </c>
      <c r="D6" s="20" t="s">
        <v>7</v>
      </c>
      <c r="E6" s="20" t="s">
        <v>198</v>
      </c>
      <c r="F6" s="20" t="s">
        <v>199</v>
      </c>
      <c r="G6" s="20" t="s">
        <v>200</v>
      </c>
      <c r="H6" s="20" t="s">
        <v>201</v>
      </c>
      <c r="I6" s="20" t="s">
        <v>202</v>
      </c>
      <c r="J6" s="20" t="s">
        <v>203</v>
      </c>
      <c r="K6" s="20" t="s">
        <v>204</v>
      </c>
      <c r="L6" s="20" t="s">
        <v>205</v>
      </c>
      <c r="M6" s="20" t="s">
        <v>206</v>
      </c>
      <c r="N6" s="20" t="s">
        <v>207</v>
      </c>
      <c r="O6" s="20" t="s">
        <v>208</v>
      </c>
      <c r="P6" s="20" t="s">
        <v>209</v>
      </c>
      <c r="Q6" s="20" t="s">
        <v>121</v>
      </c>
      <c r="R6" s="20" t="s">
        <v>6</v>
      </c>
      <c r="S6" s="11" t="s">
        <v>52</v>
      </c>
      <c r="T6" t="s">
        <v>122</v>
      </c>
      <c r="U6" t="s">
        <v>53</v>
      </c>
      <c r="V6" t="s">
        <v>125</v>
      </c>
      <c r="W6" t="s">
        <v>54</v>
      </c>
      <c r="X6" t="s">
        <v>128</v>
      </c>
      <c r="Y6" t="s">
        <v>55</v>
      </c>
      <c r="Z6" t="s">
        <v>58</v>
      </c>
      <c r="AA6" s="11"/>
    </row>
    <row r="7" spans="1:27" ht="15">
      <c r="A7" s="56"/>
      <c r="B7" s="57"/>
      <c r="C7" s="69"/>
      <c r="D7" s="34" t="s">
        <v>52</v>
      </c>
      <c r="E7" s="35"/>
      <c r="F7" s="160" t="s">
        <v>210</v>
      </c>
      <c r="G7" s="101"/>
      <c r="H7" s="102"/>
      <c r="I7" s="102"/>
      <c r="J7" s="102"/>
      <c r="K7" s="102"/>
      <c r="L7" s="102"/>
      <c r="M7" s="102"/>
      <c r="N7" s="102"/>
      <c r="O7" s="102"/>
      <c r="P7" s="103"/>
      <c r="Q7" s="104">
        <f aca="true" t="shared" si="0" ref="Q7:Q37">MAX(G7,H7,I7,J7,K7,L7,M7,N7,O7,P7)</f>
        <v>0</v>
      </c>
      <c r="R7" s="12">
        <f>MAX(S7,T7,U7,V7,W7,X7,Y7,Z7,)</f>
        <v>0</v>
      </c>
      <c r="S7" s="105" t="b">
        <f>IF($E7="Hauteur ",IF($D7="BeF",VLOOKUP($Q7,BeF_Concours!B$3:J$52,9,TRUE),FALSE))</f>
        <v>0</v>
      </c>
      <c r="T7" s="4" t="b">
        <f>IF($E7="Perche ",IF($D7="BeF",VLOOKUP($Q7,BeF_Concours!C$3:J$52,8,TRUE),FALSE))</f>
        <v>0</v>
      </c>
      <c r="U7" s="4" t="b">
        <f>IF($E7="Hauteur ",IF($D7="BeM",VLOOKUP($Q7,BeM_Concours!B$3:J$52,9,TRUE),FALSE))</f>
        <v>0</v>
      </c>
      <c r="V7" s="4" t="b">
        <f>IF($E7="Perche ",IF($D7="BeM",VLOOKUP($Q7,BeM_Concours!C$3:J$52,8,TRUE),FALSE))</f>
        <v>0</v>
      </c>
      <c r="W7" s="4" t="b">
        <f>IF($E7="Hauteur ",IF($D7="MiF",VLOOKUP($Q7,MiF_Concours!B$3:J$52,9,TRUE),FALSE))</f>
        <v>0</v>
      </c>
      <c r="X7" s="4" t="b">
        <f>IF($E7="Perche ",IF($D7="MiF",VLOOKUP($Q7,MiF_Concours!C$3:J$52,8,TRUE),FALSE))</f>
        <v>0</v>
      </c>
      <c r="Y7" s="4" t="b">
        <f>IF($E7="Hauteur ",IF($D7="MiM",VLOOKUP($Q7,MiM_Concours!B$3:J$52,9,TRUE),FALSE))</f>
        <v>0</v>
      </c>
      <c r="Z7" s="4" t="b">
        <f>IF($E7="Perche ",IF($D7="MiM",VLOOKUP($Q7,MiM_Concours!C$3:J$52,8,TRUE),FALSE))</f>
        <v>0</v>
      </c>
      <c r="AA7" s="11"/>
    </row>
    <row r="8" spans="1:27" ht="15">
      <c r="A8" s="60"/>
      <c r="B8" s="46"/>
      <c r="C8" s="70"/>
      <c r="D8" s="36" t="s">
        <v>52</v>
      </c>
      <c r="E8" s="37"/>
      <c r="F8" s="161" t="s">
        <v>211</v>
      </c>
      <c r="G8" s="106"/>
      <c r="H8" s="107"/>
      <c r="I8" s="107"/>
      <c r="J8" s="107"/>
      <c r="K8" s="107"/>
      <c r="L8" s="107"/>
      <c r="M8" s="107"/>
      <c r="N8" s="107"/>
      <c r="O8" s="107"/>
      <c r="P8" s="108"/>
      <c r="Q8" s="104">
        <f t="shared" si="0"/>
        <v>0</v>
      </c>
      <c r="R8" s="12">
        <f aca="true" t="shared" si="1" ref="R8:R37">MAX(S8,T8,U8,V8,W8,X8,Y8,Z8,)</f>
        <v>0</v>
      </c>
      <c r="S8" s="105" t="b">
        <f>IF($E8="Hauteur ",IF($D8="BeF",VLOOKUP($Q8,BeF_Concours!B$3:J$52,9,TRUE),FALSE))</f>
        <v>0</v>
      </c>
      <c r="T8" s="4" t="b">
        <f>IF($E8="Perche ",IF($D8="BeF",VLOOKUP($Q8,BeF_Concours!C$3:J$52,8,TRUE),FALSE))</f>
        <v>0</v>
      </c>
      <c r="U8" s="4" t="b">
        <f>IF($E8="Hauteur ",IF($D8="BeM",VLOOKUP($Q8,BeM_Concours!B$3:J$52,9,TRUE),FALSE))</f>
        <v>0</v>
      </c>
      <c r="V8" s="4" t="b">
        <f>IF($E8="Perche ",IF($D8="BeM",VLOOKUP($Q8,BeM_Concours!C$3:J$52,8,TRUE),FALSE))</f>
        <v>0</v>
      </c>
      <c r="W8" s="4" t="b">
        <f>IF($E8="Hauteur ",IF($D8="MiF",VLOOKUP($Q8,MiF_Concours!B$3:J$52,9,TRUE),FALSE))</f>
        <v>0</v>
      </c>
      <c r="X8" s="4" t="b">
        <f>IF($E8="Perche ",IF($D8="MiF",VLOOKUP($Q8,MiF_Concours!C$3:J$52,8,TRUE),FALSE))</f>
        <v>0</v>
      </c>
      <c r="Y8" s="4" t="b">
        <f>IF($E8="Hauteur ",IF($D8="MiM",VLOOKUP($Q8,MiM_Concours!B$3:J$52,9,TRUE),FALSE))</f>
        <v>0</v>
      </c>
      <c r="Z8" s="4" t="b">
        <f>IF($E8="Perche ",IF($D8="MiM",VLOOKUP($Q8,MiM_Concours!C$3:J$52,8,TRUE),FALSE))</f>
        <v>0</v>
      </c>
      <c r="AA8" s="11"/>
    </row>
    <row r="9" spans="1:27" ht="15">
      <c r="A9" s="60"/>
      <c r="B9" s="46"/>
      <c r="C9" s="70"/>
      <c r="D9" s="36" t="s">
        <v>53</v>
      </c>
      <c r="E9" s="37"/>
      <c r="F9" s="161" t="s">
        <v>212</v>
      </c>
      <c r="G9" s="106"/>
      <c r="H9" s="107"/>
      <c r="I9" s="107"/>
      <c r="J9" s="107"/>
      <c r="K9" s="107"/>
      <c r="L9" s="107"/>
      <c r="M9" s="107"/>
      <c r="N9" s="107"/>
      <c r="O9" s="107"/>
      <c r="P9" s="108"/>
      <c r="Q9" s="104">
        <f t="shared" si="0"/>
        <v>0</v>
      </c>
      <c r="R9" s="12">
        <f t="shared" si="1"/>
        <v>0</v>
      </c>
      <c r="S9" s="105" t="b">
        <f>IF($E9="Hauteur ",IF($D9="BeF",VLOOKUP($Q9,BeF_Concours!B$3:J$52,9,TRUE),FALSE))</f>
        <v>0</v>
      </c>
      <c r="T9" s="4" t="b">
        <f>IF($E9="Perche ",IF($D9="BeF",VLOOKUP($Q9,BeF_Concours!C$3:J$52,8,TRUE),FALSE))</f>
        <v>0</v>
      </c>
      <c r="U9" s="4" t="b">
        <f>IF($E9="Hauteur ",IF($D9="BeM",VLOOKUP($Q9,BeM_Concours!B$3:J$52,9,TRUE),FALSE))</f>
        <v>0</v>
      </c>
      <c r="V9" s="4" t="b">
        <f>IF($E9="Perche ",IF($D9="BeM",VLOOKUP($Q9,BeM_Concours!C$3:J$52,8,TRUE),FALSE))</f>
        <v>0</v>
      </c>
      <c r="W9" s="4" t="b">
        <f>IF($E9="Hauteur ",IF($D9="MiF",VLOOKUP($Q9,MiF_Concours!B$3:J$52,9,TRUE),FALSE))</f>
        <v>0</v>
      </c>
      <c r="X9" s="4" t="b">
        <f>IF($E9="Perche ",IF($D9="MiF",VLOOKUP($Q9,MiF_Concours!C$3:J$52,8,TRUE),FALSE))</f>
        <v>0</v>
      </c>
      <c r="Y9" s="4" t="b">
        <f>IF($E9="Hauteur ",IF($D9="MiM",VLOOKUP($Q9,MiM_Concours!B$3:J$52,9,TRUE),FALSE))</f>
        <v>0</v>
      </c>
      <c r="Z9" s="4" t="b">
        <f>IF($E9="Perche ",IF($D9="MiM",VLOOKUP($Q9,MiM_Concours!C$3:J$52,8,TRUE),FALSE))</f>
        <v>0</v>
      </c>
      <c r="AA9" s="11"/>
    </row>
    <row r="10" spans="1:27" ht="15">
      <c r="A10" s="60"/>
      <c r="B10" s="46"/>
      <c r="C10" s="70"/>
      <c r="D10" s="36" t="s">
        <v>53</v>
      </c>
      <c r="E10" s="37"/>
      <c r="F10" s="161" t="s">
        <v>213</v>
      </c>
      <c r="G10" s="106"/>
      <c r="H10" s="107"/>
      <c r="I10" s="107"/>
      <c r="J10" s="107"/>
      <c r="K10" s="107"/>
      <c r="L10" s="107"/>
      <c r="M10" s="107"/>
      <c r="N10" s="107"/>
      <c r="O10" s="107"/>
      <c r="P10" s="108"/>
      <c r="Q10" s="104">
        <f t="shared" si="0"/>
        <v>0</v>
      </c>
      <c r="R10" s="12">
        <f t="shared" si="1"/>
        <v>0</v>
      </c>
      <c r="S10" s="105" t="b">
        <f>IF($E10="Hauteur ",IF($D10="BeF",VLOOKUP($Q10,BeF_Concours!B$3:J$52,9,TRUE),FALSE))</f>
        <v>0</v>
      </c>
      <c r="T10" s="4" t="b">
        <f>IF($E10="Perche ",IF($D10="BeF",VLOOKUP($Q10,BeF_Concours!C$3:J$52,8,TRUE),FALSE))</f>
        <v>0</v>
      </c>
      <c r="U10" s="4" t="b">
        <f>IF($E10="Hauteur ",IF($D10="BeM",VLOOKUP($Q10,BeM_Concours!B$3:J$52,9,TRUE),FALSE))</f>
        <v>0</v>
      </c>
      <c r="V10" s="4" t="b">
        <f>IF($E10="Perche ",IF($D10="BeM",VLOOKUP($Q10,BeM_Concours!C$3:J$52,8,TRUE),FALSE))</f>
        <v>0</v>
      </c>
      <c r="W10" s="4" t="b">
        <f>IF($E10="Hauteur ",IF($D10="MiF",VLOOKUP($Q10,MiF_Concours!B$3:J$52,9,TRUE),FALSE))</f>
        <v>0</v>
      </c>
      <c r="X10" s="4" t="b">
        <f>IF($E10="Perche ",IF($D10="MiF",VLOOKUP($Q10,MiF_Concours!C$3:J$52,8,TRUE),FALSE))</f>
        <v>0</v>
      </c>
      <c r="Y10" s="4" t="b">
        <f>IF($E10="Hauteur ",IF($D10="MiM",VLOOKUP($Q10,MiM_Concours!B$3:J$52,9,TRUE),FALSE))</f>
        <v>0</v>
      </c>
      <c r="Z10" s="4" t="b">
        <f>IF($E10="Perche ",IF($D10="MiM",VLOOKUP($Q10,MiM_Concours!C$3:J$52,8,TRUE),FALSE))</f>
        <v>0</v>
      </c>
      <c r="AA10" s="11"/>
    </row>
    <row r="11" spans="1:27" ht="15">
      <c r="A11" s="60"/>
      <c r="B11" s="46"/>
      <c r="C11" s="70"/>
      <c r="D11" s="36" t="s">
        <v>52</v>
      </c>
      <c r="E11" s="37"/>
      <c r="F11" s="161" t="s">
        <v>214</v>
      </c>
      <c r="G11" s="106"/>
      <c r="H11" s="107"/>
      <c r="I11" s="107"/>
      <c r="J11" s="107"/>
      <c r="K11" s="107"/>
      <c r="L11" s="107"/>
      <c r="M11" s="107"/>
      <c r="N11" s="107"/>
      <c r="O11" s="107"/>
      <c r="P11" s="108"/>
      <c r="Q11" s="104">
        <f t="shared" si="0"/>
        <v>0</v>
      </c>
      <c r="R11" s="12">
        <f t="shared" si="1"/>
        <v>0</v>
      </c>
      <c r="S11" s="105" t="b">
        <f>IF($E11="Hauteur ",IF($D11="BeF",VLOOKUP($Q11,BeF_Concours!B$3:J$52,9,TRUE),FALSE))</f>
        <v>0</v>
      </c>
      <c r="T11" s="4" t="b">
        <f>IF($E11="Perche ",IF($D11="BeF",VLOOKUP($Q11,BeF_Concours!C$3:J$52,8,TRUE),FALSE))</f>
        <v>0</v>
      </c>
      <c r="U11" s="4" t="b">
        <f>IF($E11="Hauteur ",IF($D11="BeM",VLOOKUP($Q11,BeM_Concours!B$3:J$52,9,TRUE),FALSE))</f>
        <v>0</v>
      </c>
      <c r="V11" s="4" t="b">
        <f>IF($E11="Perche ",IF($D11="BeM",VLOOKUP($Q11,BeM_Concours!C$3:J$52,8,TRUE),FALSE))</f>
        <v>0</v>
      </c>
      <c r="W11" s="4" t="b">
        <f>IF($E11="Hauteur ",IF($D11="MiF",VLOOKUP($Q11,MiF_Concours!B$3:J$52,9,TRUE),FALSE))</f>
        <v>0</v>
      </c>
      <c r="X11" s="4" t="b">
        <f>IF($E11="Perche ",IF($D11="MiF",VLOOKUP($Q11,MiF_Concours!C$3:J$52,8,TRUE),FALSE))</f>
        <v>0</v>
      </c>
      <c r="Y11" s="4" t="b">
        <f>IF($E11="Hauteur ",IF($D11="MiM",VLOOKUP($Q11,MiM_Concours!B$3:J$52,9,TRUE),FALSE))</f>
        <v>0</v>
      </c>
      <c r="Z11" s="4" t="b">
        <f>IF($E11="Perche ",IF($D11="MiM",VLOOKUP($Q11,MiM_Concours!C$3:J$52,8,TRUE),FALSE))</f>
        <v>0</v>
      </c>
      <c r="AA11" s="11"/>
    </row>
    <row r="12" spans="1:27" ht="15.75" thickBot="1">
      <c r="A12" s="60"/>
      <c r="B12" s="46"/>
      <c r="C12" s="70"/>
      <c r="D12" s="36" t="s">
        <v>52</v>
      </c>
      <c r="E12" s="37"/>
      <c r="F12" s="161"/>
      <c r="G12" s="106"/>
      <c r="H12" s="107"/>
      <c r="I12" s="107"/>
      <c r="J12" s="107"/>
      <c r="K12" s="107"/>
      <c r="L12" s="107"/>
      <c r="M12" s="107"/>
      <c r="N12" s="107"/>
      <c r="O12" s="107"/>
      <c r="P12" s="108"/>
      <c r="Q12" s="104">
        <f t="shared" si="0"/>
        <v>0</v>
      </c>
      <c r="R12" s="12">
        <f t="shared" si="1"/>
        <v>0</v>
      </c>
      <c r="S12" s="105" t="b">
        <f>IF($E12="Hauteur ",IF($D12="BeF",VLOOKUP($Q12,BeF_Concours!B$3:J$52,9,TRUE),FALSE))</f>
        <v>0</v>
      </c>
      <c r="T12" s="4" t="b">
        <f>IF($E12="Perche ",IF($D12="BeF",VLOOKUP($Q12,BeF_Concours!C$3:J$52,8,TRUE),FALSE))</f>
        <v>0</v>
      </c>
      <c r="U12" s="4" t="b">
        <f>IF($E12="Hauteur ",IF($D12="BeM",VLOOKUP($Q12,BeM_Concours!B$3:J$52,9,TRUE),FALSE))</f>
        <v>0</v>
      </c>
      <c r="V12" s="4" t="b">
        <f>IF($E12="Perche ",IF($D12="BeM",VLOOKUP($Q12,BeM_Concours!C$3:J$52,8,TRUE),FALSE))</f>
        <v>0</v>
      </c>
      <c r="W12" s="4" t="b">
        <f>IF($E12="Hauteur ",IF($D12="MiF",VLOOKUP($Q12,MiF_Concours!B$3:J$52,9,TRUE),FALSE))</f>
        <v>0</v>
      </c>
      <c r="X12" s="4" t="b">
        <f>IF($E12="Perche ",IF($D12="MiF",VLOOKUP($Q12,MiF_Concours!C$3:J$52,8,TRUE),FALSE))</f>
        <v>0</v>
      </c>
      <c r="Y12" s="4" t="b">
        <f>IF($E12="Hauteur ",IF($D12="MiM",VLOOKUP($Q12,MiM_Concours!B$3:J$52,9,TRUE),FALSE))</f>
        <v>0</v>
      </c>
      <c r="Z12" s="4" t="b">
        <f>IF($E12="Perche ",IF($D12="MiM",VLOOKUP($Q12,MiM_Concours!C$3:J$52,8,TRUE),FALSE))</f>
        <v>0</v>
      </c>
      <c r="AA12" s="11"/>
    </row>
    <row r="13" spans="1:27" ht="15">
      <c r="A13" s="60"/>
      <c r="B13" s="46"/>
      <c r="C13" s="70"/>
      <c r="D13" s="36" t="s">
        <v>53</v>
      </c>
      <c r="E13" s="37"/>
      <c r="F13" s="160" t="s">
        <v>210</v>
      </c>
      <c r="G13" s="101"/>
      <c r="H13" s="102"/>
      <c r="I13" s="102"/>
      <c r="J13" s="102"/>
      <c r="K13" s="102"/>
      <c r="L13" s="102"/>
      <c r="M13" s="102"/>
      <c r="N13" s="102"/>
      <c r="O13" s="102"/>
      <c r="P13" s="103"/>
      <c r="Q13" s="104">
        <f t="shared" si="0"/>
        <v>0</v>
      </c>
      <c r="R13" s="12">
        <f t="shared" si="1"/>
        <v>0</v>
      </c>
      <c r="S13" s="105" t="b">
        <f>IF($E13="Hauteur ",IF($D13="BeF",VLOOKUP($Q13,BeF_Concours!B$3:J$52,9,TRUE),FALSE))</f>
        <v>0</v>
      </c>
      <c r="T13" s="4" t="b">
        <f>IF($E13="Perche ",IF($D13="BeF",VLOOKUP($Q13,BeF_Concours!C$3:J$52,8,TRUE),FALSE))</f>
        <v>0</v>
      </c>
      <c r="U13" s="4" t="b">
        <f>IF($E13="Hauteur ",IF($D13="BeM",VLOOKUP($Q13,BeM_Concours!B$3:J$52,9,TRUE),FALSE))</f>
        <v>0</v>
      </c>
      <c r="V13" s="4" t="b">
        <f>IF($E13="Perche ",IF($D13="BeM",VLOOKUP($Q13,BeM_Concours!C$3:J$52,8,TRUE),FALSE))</f>
        <v>0</v>
      </c>
      <c r="W13" s="4" t="b">
        <f>IF($E13="Hauteur ",IF($D13="MiF",VLOOKUP($Q13,MiF_Concours!B$3:J$52,9,TRUE),FALSE))</f>
        <v>0</v>
      </c>
      <c r="X13" s="4" t="b">
        <f>IF($E13="Perche ",IF($D13="MiF",VLOOKUP($Q13,MiF_Concours!C$3:J$52,8,TRUE),FALSE))</f>
        <v>0</v>
      </c>
      <c r="Y13" s="4" t="b">
        <f>IF($E13="Hauteur ",IF($D13="MiM",VLOOKUP($Q13,MiM_Concours!B$3:J$52,9,TRUE),FALSE))</f>
        <v>0</v>
      </c>
      <c r="Z13" s="4" t="b">
        <f>IF($E13="Perche ",IF($D13="MiM",VLOOKUP($Q13,MiM_Concours!C$3:J$52,8,TRUE),FALSE))</f>
        <v>0</v>
      </c>
      <c r="AA13" s="11"/>
    </row>
    <row r="14" spans="1:27" ht="15">
      <c r="A14" s="60"/>
      <c r="B14" s="46"/>
      <c r="C14" s="70"/>
      <c r="D14" s="47" t="s">
        <v>55</v>
      </c>
      <c r="E14" s="37"/>
      <c r="F14" s="161" t="s">
        <v>211</v>
      </c>
      <c r="G14" s="106"/>
      <c r="H14" s="107"/>
      <c r="I14" s="107"/>
      <c r="J14" s="107"/>
      <c r="K14" s="107"/>
      <c r="L14" s="107"/>
      <c r="M14" s="107"/>
      <c r="N14" s="107"/>
      <c r="O14" s="107"/>
      <c r="P14" s="108"/>
      <c r="Q14" s="104">
        <f t="shared" si="0"/>
        <v>0</v>
      </c>
      <c r="R14" s="12">
        <f t="shared" si="1"/>
        <v>0</v>
      </c>
      <c r="S14" s="105" t="b">
        <f>IF($E14="Hauteur ",IF($D14="BeF",VLOOKUP($Q14,BeF_Concours!B$3:J$52,9,TRUE),FALSE))</f>
        <v>0</v>
      </c>
      <c r="T14" s="4" t="b">
        <f>IF($E14="Perche ",IF($D14="BeF",VLOOKUP($Q14,BeF_Concours!C$3:J$52,8,TRUE),FALSE))</f>
        <v>0</v>
      </c>
      <c r="U14" s="4" t="b">
        <f>IF($E14="Hauteur ",IF($D14="BeM",VLOOKUP($Q14,BeM_Concours!B$3:J$52,9,TRUE),FALSE))</f>
        <v>0</v>
      </c>
      <c r="V14" s="4" t="b">
        <f>IF($E14="Perche ",IF($D14="BeM",VLOOKUP($Q14,BeM_Concours!C$3:J$52,8,TRUE),FALSE))</f>
        <v>0</v>
      </c>
      <c r="W14" s="4" t="b">
        <f>IF($E14="Hauteur ",IF($D14="MiF",VLOOKUP($Q14,MiF_Concours!B$3:J$52,9,TRUE),FALSE))</f>
        <v>0</v>
      </c>
      <c r="X14" s="4" t="b">
        <f>IF($E14="Perche ",IF($D14="MiF",VLOOKUP($Q14,MiF_Concours!C$3:J$52,8,TRUE),FALSE))</f>
        <v>0</v>
      </c>
      <c r="Y14" s="4" t="b">
        <f>IF($E14="Hauteur ",IF($D14="MiM",VLOOKUP($Q14,MiM_Concours!B$3:J$52,9,TRUE),FALSE))</f>
        <v>0</v>
      </c>
      <c r="Z14" s="4" t="b">
        <f>IF($E14="Perche ",IF($D14="MiM",VLOOKUP($Q14,MiM_Concours!C$3:J$52,8,TRUE),FALSE))</f>
        <v>0</v>
      </c>
      <c r="AA14" s="11"/>
    </row>
    <row r="15" spans="1:27" ht="15">
      <c r="A15" s="60"/>
      <c r="B15" s="46"/>
      <c r="C15" s="70"/>
      <c r="D15" s="47" t="s">
        <v>54</v>
      </c>
      <c r="E15" s="37"/>
      <c r="F15" s="161" t="s">
        <v>212</v>
      </c>
      <c r="G15" s="106"/>
      <c r="H15" s="107"/>
      <c r="I15" s="107"/>
      <c r="J15" s="107"/>
      <c r="K15" s="107"/>
      <c r="L15" s="107"/>
      <c r="M15" s="107"/>
      <c r="N15" s="107"/>
      <c r="O15" s="107"/>
      <c r="P15" s="108"/>
      <c r="Q15" s="104">
        <f t="shared" si="0"/>
        <v>0</v>
      </c>
      <c r="R15" s="12">
        <f t="shared" si="1"/>
        <v>0</v>
      </c>
      <c r="S15" s="105" t="b">
        <f>IF($E15="Hauteur ",IF($D15="BeF",VLOOKUP($Q15,BeF_Concours!B$3:J$52,9,TRUE),FALSE))</f>
        <v>0</v>
      </c>
      <c r="T15" s="4" t="b">
        <f>IF($E15="Perche ",IF($D15="BeF",VLOOKUP($Q15,BeF_Concours!C$3:J$52,8,TRUE),FALSE))</f>
        <v>0</v>
      </c>
      <c r="U15" s="4" t="b">
        <f>IF($E15="Hauteur ",IF($D15="BeM",VLOOKUP($Q15,BeM_Concours!B$3:J$52,9,TRUE),FALSE))</f>
        <v>0</v>
      </c>
      <c r="V15" s="4" t="b">
        <f>IF($E15="Perche ",IF($D15="BeM",VLOOKUP($Q15,BeM_Concours!C$3:J$52,8,TRUE),FALSE))</f>
        <v>0</v>
      </c>
      <c r="W15" s="4" t="b">
        <f>IF($E15="Hauteur ",IF($D15="MiF",VLOOKUP($Q15,MiF_Concours!B$3:J$52,9,TRUE),FALSE))</f>
        <v>0</v>
      </c>
      <c r="X15" s="4" t="b">
        <f>IF($E15="Perche ",IF($D15="MiF",VLOOKUP($Q15,MiF_Concours!C$3:J$52,8,TRUE),FALSE))</f>
        <v>0</v>
      </c>
      <c r="Y15" s="4" t="b">
        <f>IF($E15="Hauteur ",IF($D15="MiM",VLOOKUP($Q15,MiM_Concours!B$3:J$52,9,TRUE),FALSE))</f>
        <v>0</v>
      </c>
      <c r="Z15" s="4" t="b">
        <f>IF($E15="Perche ",IF($D15="MiM",VLOOKUP($Q15,MiM_Concours!C$3:J$52,8,TRUE),FALSE))</f>
        <v>0</v>
      </c>
      <c r="AA15" s="11"/>
    </row>
    <row r="16" spans="1:27" ht="15">
      <c r="A16" s="60"/>
      <c r="B16" s="46"/>
      <c r="C16" s="70"/>
      <c r="D16" s="47" t="s">
        <v>55</v>
      </c>
      <c r="E16" s="37"/>
      <c r="F16" s="161" t="s">
        <v>213</v>
      </c>
      <c r="G16" s="106"/>
      <c r="H16" s="107"/>
      <c r="I16" s="107"/>
      <c r="J16" s="107"/>
      <c r="K16" s="107"/>
      <c r="L16" s="107"/>
      <c r="M16" s="107"/>
      <c r="N16" s="107"/>
      <c r="O16" s="107"/>
      <c r="P16" s="108"/>
      <c r="Q16" s="104">
        <f t="shared" si="0"/>
        <v>0</v>
      </c>
      <c r="R16" s="12">
        <f t="shared" si="1"/>
        <v>0</v>
      </c>
      <c r="S16" s="105" t="b">
        <f>IF($E16="Hauteur ",IF($D16="BeF",VLOOKUP($Q16,BeF_Concours!B$3:J$52,9,TRUE),FALSE))</f>
        <v>0</v>
      </c>
      <c r="T16" s="4" t="b">
        <f>IF($E16="Perche ",IF($D16="BeF",VLOOKUP($Q16,BeF_Concours!C$3:J$52,8,TRUE),FALSE))</f>
        <v>0</v>
      </c>
      <c r="U16" s="4" t="b">
        <f>IF($E16="Hauteur ",IF($D16="BeM",VLOOKUP($Q16,BeM_Concours!B$3:J$52,9,TRUE),FALSE))</f>
        <v>0</v>
      </c>
      <c r="V16" s="4" t="b">
        <f>IF($E16="Perche ",IF($D16="BeM",VLOOKUP($Q16,BeM_Concours!C$3:J$52,8,TRUE),FALSE))</f>
        <v>0</v>
      </c>
      <c r="W16" s="4" t="b">
        <f>IF($E16="Hauteur ",IF($D16="MiF",VLOOKUP($Q16,MiF_Concours!B$3:J$52,9,TRUE),FALSE))</f>
        <v>0</v>
      </c>
      <c r="X16" s="4" t="b">
        <f>IF($E16="Perche ",IF($D16="MiF",VLOOKUP($Q16,MiF_Concours!C$3:J$52,8,TRUE),FALSE))</f>
        <v>0</v>
      </c>
      <c r="Y16" s="4" t="b">
        <f>IF($E16="Hauteur ",IF($D16="MiM",VLOOKUP($Q16,MiM_Concours!B$3:J$52,9,TRUE),FALSE))</f>
        <v>0</v>
      </c>
      <c r="Z16" s="4" t="b">
        <f>IF($E16="Perche ",IF($D16="MiM",VLOOKUP($Q16,MiM_Concours!C$3:J$52,8,TRUE),FALSE))</f>
        <v>0</v>
      </c>
      <c r="AA16" s="11"/>
    </row>
    <row r="17" spans="1:27" ht="15">
      <c r="A17" s="60"/>
      <c r="B17" s="46"/>
      <c r="C17" s="70"/>
      <c r="D17" s="36" t="s">
        <v>53</v>
      </c>
      <c r="E17" s="37"/>
      <c r="F17" s="161" t="s">
        <v>214</v>
      </c>
      <c r="G17" s="106"/>
      <c r="H17" s="107"/>
      <c r="I17" s="107"/>
      <c r="J17" s="107"/>
      <c r="K17" s="107"/>
      <c r="L17" s="107"/>
      <c r="M17" s="107"/>
      <c r="N17" s="107"/>
      <c r="O17" s="107"/>
      <c r="P17" s="108"/>
      <c r="Q17" s="104">
        <f t="shared" si="0"/>
        <v>0</v>
      </c>
      <c r="R17" s="12">
        <f t="shared" si="1"/>
        <v>0</v>
      </c>
      <c r="S17" s="105" t="b">
        <f>IF($E17="Hauteur ",IF($D17="BeF",VLOOKUP($Q17,BeF_Concours!B$3:J$52,9,TRUE),FALSE))</f>
        <v>0</v>
      </c>
      <c r="T17" s="4" t="b">
        <f>IF($E17="Perche ",IF($D17="BeF",VLOOKUP($Q17,BeF_Concours!C$3:J$52,8,TRUE),FALSE))</f>
        <v>0</v>
      </c>
      <c r="U17" s="4" t="b">
        <f>IF($E17="Hauteur ",IF($D17="BeM",VLOOKUP($Q17,BeM_Concours!B$3:J$52,9,TRUE),FALSE))</f>
        <v>0</v>
      </c>
      <c r="V17" s="4" t="b">
        <f>IF($E17="Perche ",IF($D17="BeM",VLOOKUP($Q17,BeM_Concours!C$3:J$52,8,TRUE),FALSE))</f>
        <v>0</v>
      </c>
      <c r="W17" s="4" t="b">
        <f>IF($E17="Hauteur ",IF($D17="MiF",VLOOKUP($Q17,MiF_Concours!B$3:J$52,9,TRUE),FALSE))</f>
        <v>0</v>
      </c>
      <c r="X17" s="4" t="b">
        <f>IF($E17="Perche ",IF($D17="MiF",VLOOKUP($Q17,MiF_Concours!C$3:J$52,8,TRUE),FALSE))</f>
        <v>0</v>
      </c>
      <c r="Y17" s="4" t="b">
        <f>IF($E17="Hauteur ",IF($D17="MiM",VLOOKUP($Q17,MiM_Concours!B$3:J$52,9,TRUE),FALSE))</f>
        <v>0</v>
      </c>
      <c r="Z17" s="4" t="b">
        <f>IF($E17="Perche ",IF($D17="MiM",VLOOKUP($Q17,MiM_Concours!C$3:J$52,8,TRUE),FALSE))</f>
        <v>0</v>
      </c>
      <c r="AA17" s="11"/>
    </row>
    <row r="18" spans="1:27" ht="15.75" thickBot="1">
      <c r="A18" s="60"/>
      <c r="B18" s="46"/>
      <c r="C18" s="70"/>
      <c r="D18" s="36" t="s">
        <v>53</v>
      </c>
      <c r="E18" s="37"/>
      <c r="F18" s="162"/>
      <c r="G18" s="109"/>
      <c r="H18" s="110"/>
      <c r="I18" s="110"/>
      <c r="J18" s="110"/>
      <c r="K18" s="110"/>
      <c r="L18" s="110"/>
      <c r="M18" s="110"/>
      <c r="N18" s="110"/>
      <c r="O18" s="110"/>
      <c r="P18" s="111"/>
      <c r="Q18" s="104">
        <f t="shared" si="0"/>
        <v>0</v>
      </c>
      <c r="R18" s="12">
        <f t="shared" si="1"/>
        <v>0</v>
      </c>
      <c r="S18" s="105" t="b">
        <f>IF($E18="Hauteur ",IF($D18="BeF",VLOOKUP($Q18,BeF_Concours!B$3:J$52,9,TRUE),FALSE))</f>
        <v>0</v>
      </c>
      <c r="T18" s="4" t="b">
        <f>IF($E18="Perche ",IF($D18="BeF",VLOOKUP($Q18,BeF_Concours!C$3:J$52,8,TRUE),FALSE))</f>
        <v>0</v>
      </c>
      <c r="U18" s="4" t="b">
        <f>IF($E18="Hauteur ",IF($D18="BeM",VLOOKUP($Q18,BeM_Concours!B$3:J$52,9,TRUE),FALSE))</f>
        <v>0</v>
      </c>
      <c r="V18" s="4" t="b">
        <f>IF($E18="Perche ",IF($D18="BeM",VLOOKUP($Q18,BeM_Concours!C$3:J$52,8,TRUE),FALSE))</f>
        <v>0</v>
      </c>
      <c r="W18" s="4" t="b">
        <f>IF($E18="Hauteur ",IF($D18="MiF",VLOOKUP($Q18,MiF_Concours!B$3:J$52,9,TRUE),FALSE))</f>
        <v>0</v>
      </c>
      <c r="X18" s="4" t="b">
        <f>IF($E18="Perche ",IF($D18="MiF",VLOOKUP($Q18,MiF_Concours!C$3:J$52,8,TRUE),FALSE))</f>
        <v>0</v>
      </c>
      <c r="Y18" s="4" t="b">
        <f>IF($E18="Hauteur ",IF($D18="MiM",VLOOKUP($Q18,MiM_Concours!B$3:J$52,9,TRUE),FALSE))</f>
        <v>0</v>
      </c>
      <c r="Z18" s="4" t="b">
        <f>IF($E18="Perche ",IF($D18="MiM",VLOOKUP($Q18,MiM_Concours!C$3:J$52,8,TRUE),FALSE))</f>
        <v>0</v>
      </c>
      <c r="AA18" s="11"/>
    </row>
    <row r="19" spans="1:27" ht="15">
      <c r="A19" s="60"/>
      <c r="B19" s="46"/>
      <c r="C19" s="70"/>
      <c r="D19" s="36" t="s">
        <v>54</v>
      </c>
      <c r="E19" s="37"/>
      <c r="F19" s="160" t="s">
        <v>210</v>
      </c>
      <c r="G19" s="101"/>
      <c r="H19" s="102"/>
      <c r="I19" s="102"/>
      <c r="J19" s="102"/>
      <c r="K19" s="102"/>
      <c r="L19" s="102"/>
      <c r="M19" s="102"/>
      <c r="N19" s="102"/>
      <c r="O19" s="102"/>
      <c r="P19" s="103"/>
      <c r="Q19" s="104">
        <f t="shared" si="0"/>
        <v>0</v>
      </c>
      <c r="R19" s="12">
        <f t="shared" si="1"/>
        <v>0</v>
      </c>
      <c r="S19" s="105" t="b">
        <f>IF($E19="Hauteur ",IF($D19="BeF",VLOOKUP($Q19,BeF_Concours!B$3:J$52,9,TRUE),FALSE))</f>
        <v>0</v>
      </c>
      <c r="T19" s="4" t="b">
        <f>IF($E19="Perche ",IF($D19="BeF",VLOOKUP($Q19,BeF_Concours!C$3:J$52,8,TRUE),FALSE))</f>
        <v>0</v>
      </c>
      <c r="U19" s="4" t="b">
        <f>IF($E19="Hauteur ",IF($D19="BeM",VLOOKUP($Q19,BeM_Concours!B$3:J$52,9,TRUE),FALSE))</f>
        <v>0</v>
      </c>
      <c r="V19" s="4" t="b">
        <f>IF($E19="Perche ",IF($D19="BeM",VLOOKUP($Q19,BeM_Concours!C$3:J$52,8,TRUE),FALSE))</f>
        <v>0</v>
      </c>
      <c r="W19" s="4" t="b">
        <f>IF($E19="Hauteur ",IF($D19="MiF",VLOOKUP($Q19,MiF_Concours!B$3:J$52,9,TRUE),FALSE))</f>
        <v>0</v>
      </c>
      <c r="X19" s="4" t="b">
        <f>IF($E19="Perche ",IF($D19="MiF",VLOOKUP($Q19,MiF_Concours!C$3:J$52,8,TRUE),FALSE))</f>
        <v>0</v>
      </c>
      <c r="Y19" s="4" t="b">
        <f>IF($E19="Hauteur ",IF($D19="MiM",VLOOKUP($Q19,MiM_Concours!B$3:J$52,9,TRUE),FALSE))</f>
        <v>0</v>
      </c>
      <c r="Z19" s="4" t="b">
        <f>IF($E19="Perche ",IF($D19="MiM",VLOOKUP($Q19,MiM_Concours!C$3:J$52,8,TRUE),FALSE))</f>
        <v>0</v>
      </c>
      <c r="AA19" s="11"/>
    </row>
    <row r="20" spans="1:27" ht="15">
      <c r="A20" s="60"/>
      <c r="B20" s="46"/>
      <c r="C20" s="70"/>
      <c r="D20" s="36" t="s">
        <v>54</v>
      </c>
      <c r="E20" s="37"/>
      <c r="F20" s="161" t="s">
        <v>211</v>
      </c>
      <c r="G20" s="106"/>
      <c r="H20" s="107"/>
      <c r="I20" s="107"/>
      <c r="J20" s="107"/>
      <c r="K20" s="107"/>
      <c r="L20" s="107"/>
      <c r="M20" s="107"/>
      <c r="N20" s="107"/>
      <c r="O20" s="107"/>
      <c r="P20" s="108"/>
      <c r="Q20" s="104">
        <f t="shared" si="0"/>
        <v>0</v>
      </c>
      <c r="R20" s="12">
        <f t="shared" si="1"/>
        <v>0</v>
      </c>
      <c r="S20" s="105" t="b">
        <f>IF($E20="Hauteur ",IF($D20="BeF",VLOOKUP($Q20,BeF_Concours!B$3:J$52,9,TRUE),FALSE))</f>
        <v>0</v>
      </c>
      <c r="T20" s="4" t="b">
        <f>IF($E20="Perche ",IF($D20="BeF",VLOOKUP($Q20,BeF_Concours!C$3:J$52,8,TRUE),FALSE))</f>
        <v>0</v>
      </c>
      <c r="U20" s="4" t="b">
        <f>IF($E20="Hauteur ",IF($D20="BeM",VLOOKUP($Q20,BeM_Concours!B$3:J$52,9,TRUE),FALSE))</f>
        <v>0</v>
      </c>
      <c r="V20" s="4" t="b">
        <f>IF($E20="Perche ",IF($D20="BeM",VLOOKUP($Q20,BeM_Concours!C$3:J$52,8,TRUE),FALSE))</f>
        <v>0</v>
      </c>
      <c r="W20" s="4" t="b">
        <f>IF($E20="Hauteur ",IF($D20="MiF",VLOOKUP($Q20,MiF_Concours!B$3:J$52,9,TRUE),FALSE))</f>
        <v>0</v>
      </c>
      <c r="X20" s="4" t="b">
        <f>IF($E20="Perche ",IF($D20="MiF",VLOOKUP($Q20,MiF_Concours!C$3:J$52,8,TRUE),FALSE))</f>
        <v>0</v>
      </c>
      <c r="Y20" s="4" t="b">
        <f>IF($E20="Hauteur ",IF($D20="MiM",VLOOKUP($Q20,MiM_Concours!B$3:J$52,9,TRUE),FALSE))</f>
        <v>0</v>
      </c>
      <c r="Z20" s="4" t="b">
        <f>IF($E20="Perche ",IF($D20="MiM",VLOOKUP($Q20,MiM_Concours!C$3:J$52,8,TRUE),FALSE))</f>
        <v>0</v>
      </c>
      <c r="AA20" s="11"/>
    </row>
    <row r="21" spans="1:27" ht="15">
      <c r="A21" s="60"/>
      <c r="B21" s="46"/>
      <c r="C21" s="70"/>
      <c r="D21" s="36" t="s">
        <v>54</v>
      </c>
      <c r="E21" s="37"/>
      <c r="F21" s="161" t="s">
        <v>212</v>
      </c>
      <c r="G21" s="106"/>
      <c r="H21" s="107"/>
      <c r="I21" s="107"/>
      <c r="J21" s="107"/>
      <c r="K21" s="107"/>
      <c r="L21" s="107"/>
      <c r="M21" s="107"/>
      <c r="N21" s="107"/>
      <c r="O21" s="107"/>
      <c r="P21" s="108"/>
      <c r="Q21" s="104">
        <f t="shared" si="0"/>
        <v>0</v>
      </c>
      <c r="R21" s="12">
        <f t="shared" si="1"/>
        <v>0</v>
      </c>
      <c r="S21" s="105" t="b">
        <f>IF($E21="Hauteur ",IF($D21="BeF",VLOOKUP($Q21,BeF_Concours!B$3:J$52,9,TRUE),FALSE))</f>
        <v>0</v>
      </c>
      <c r="T21" s="4" t="b">
        <f>IF($E21="Perche ",IF($D21="BeF",VLOOKUP($Q21,BeF_Concours!C$3:J$52,8,TRUE),FALSE))</f>
        <v>0</v>
      </c>
      <c r="U21" s="4" t="b">
        <f>IF($E21="Hauteur ",IF($D21="BeM",VLOOKUP($Q21,BeM_Concours!B$3:J$52,9,TRUE),FALSE))</f>
        <v>0</v>
      </c>
      <c r="V21" s="4" t="b">
        <f>IF($E21="Perche ",IF($D21="BeM",VLOOKUP($Q21,BeM_Concours!C$3:J$52,8,TRUE),FALSE))</f>
        <v>0</v>
      </c>
      <c r="W21" s="4" t="b">
        <f>IF($E21="Hauteur ",IF($D21="MiF",VLOOKUP($Q21,MiF_Concours!B$3:J$52,9,TRUE),FALSE))</f>
        <v>0</v>
      </c>
      <c r="X21" s="4" t="b">
        <f>IF($E21="Perche ",IF($D21="MiF",VLOOKUP($Q21,MiF_Concours!C$3:J$52,8,TRUE),FALSE))</f>
        <v>0</v>
      </c>
      <c r="Y21" s="4" t="b">
        <f>IF($E21="Hauteur ",IF($D21="MiM",VLOOKUP($Q21,MiM_Concours!B$3:J$52,9,TRUE),FALSE))</f>
        <v>0</v>
      </c>
      <c r="Z21" s="4" t="b">
        <f>IF($E21="Perche ",IF($D21="MiM",VLOOKUP($Q21,MiM_Concours!C$3:J$52,8,TRUE),FALSE))</f>
        <v>0</v>
      </c>
      <c r="AA21" s="11"/>
    </row>
    <row r="22" spans="1:27" ht="15">
      <c r="A22" s="60"/>
      <c r="B22" s="46"/>
      <c r="C22" s="70"/>
      <c r="D22" s="36" t="s">
        <v>54</v>
      </c>
      <c r="E22" s="37"/>
      <c r="F22" s="161" t="s">
        <v>213</v>
      </c>
      <c r="G22" s="106"/>
      <c r="H22" s="107"/>
      <c r="I22" s="107"/>
      <c r="J22" s="107"/>
      <c r="K22" s="107"/>
      <c r="L22" s="107"/>
      <c r="M22" s="107"/>
      <c r="N22" s="107"/>
      <c r="O22" s="107"/>
      <c r="P22" s="108"/>
      <c r="Q22" s="104">
        <f t="shared" si="0"/>
        <v>0</v>
      </c>
      <c r="R22" s="12">
        <f t="shared" si="1"/>
        <v>0</v>
      </c>
      <c r="S22" s="105" t="b">
        <f>IF($E22="Hauteur ",IF($D22="BeF",VLOOKUP($Q22,BeF_Concours!B$3:J$52,9,TRUE),FALSE))</f>
        <v>0</v>
      </c>
      <c r="T22" s="4" t="b">
        <f>IF($E22="Perche ",IF($D22="BeF",VLOOKUP($Q22,BeF_Concours!C$3:J$52,8,TRUE),FALSE))</f>
        <v>0</v>
      </c>
      <c r="U22" s="4" t="b">
        <f>IF($E22="Hauteur ",IF($D22="BeM",VLOOKUP($Q22,BeM_Concours!B$3:J$52,9,TRUE),FALSE))</f>
        <v>0</v>
      </c>
      <c r="V22" s="4" t="b">
        <f>IF($E22="Perche ",IF($D22="BeM",VLOOKUP($Q22,BeM_Concours!C$3:J$52,8,TRUE),FALSE))</f>
        <v>0</v>
      </c>
      <c r="W22" s="4" t="b">
        <f>IF($E22="Hauteur ",IF($D22="MiF",VLOOKUP($Q22,MiF_Concours!B$3:J$52,9,TRUE),FALSE))</f>
        <v>0</v>
      </c>
      <c r="X22" s="4" t="b">
        <f>IF($E22="Perche ",IF($D22="MiF",VLOOKUP($Q22,MiF_Concours!C$3:J$52,8,TRUE),FALSE))</f>
        <v>0</v>
      </c>
      <c r="Y22" s="4" t="b">
        <f>IF($E22="Hauteur ",IF($D22="MiM",VLOOKUP($Q22,MiM_Concours!B$3:J$52,9,TRUE),FALSE))</f>
        <v>0</v>
      </c>
      <c r="Z22" s="4" t="b">
        <f>IF($E22="Perche ",IF($D22="MiM",VLOOKUP($Q22,MiM_Concours!C$3:J$52,8,TRUE),FALSE))</f>
        <v>0</v>
      </c>
      <c r="AA22" s="11"/>
    </row>
    <row r="23" spans="1:27" ht="15">
      <c r="A23" s="60"/>
      <c r="B23" s="46"/>
      <c r="C23" s="70"/>
      <c r="D23" s="36" t="s">
        <v>54</v>
      </c>
      <c r="E23" s="37"/>
      <c r="F23" s="161" t="s">
        <v>214</v>
      </c>
      <c r="G23" s="106"/>
      <c r="H23" s="107"/>
      <c r="I23" s="107"/>
      <c r="J23" s="107"/>
      <c r="K23" s="107"/>
      <c r="L23" s="107"/>
      <c r="M23" s="107"/>
      <c r="N23" s="107"/>
      <c r="O23" s="107"/>
      <c r="P23" s="108"/>
      <c r="Q23" s="104">
        <f t="shared" si="0"/>
        <v>0</v>
      </c>
      <c r="R23" s="12">
        <f t="shared" si="1"/>
        <v>0</v>
      </c>
      <c r="S23" s="105" t="b">
        <f>IF($E23="Hauteur ",IF($D23="BeF",VLOOKUP($Q23,BeF_Concours!B$3:J$52,9,TRUE),FALSE))</f>
        <v>0</v>
      </c>
      <c r="T23" s="4" t="b">
        <f>IF($E23="Perche ",IF($D23="BeF",VLOOKUP($Q23,BeF_Concours!C$3:J$52,8,TRUE),FALSE))</f>
        <v>0</v>
      </c>
      <c r="U23" s="4" t="b">
        <f>IF($E23="Hauteur ",IF($D23="BeM",VLOOKUP($Q23,BeM_Concours!B$3:J$52,9,TRUE),FALSE))</f>
        <v>0</v>
      </c>
      <c r="V23" s="4" t="b">
        <f>IF($E23="Perche ",IF($D23="BeM",VLOOKUP($Q23,BeM_Concours!C$3:J$52,8,TRUE),FALSE))</f>
        <v>0</v>
      </c>
      <c r="W23" s="4" t="b">
        <f>IF($E23="Hauteur ",IF($D23="MiF",VLOOKUP($Q23,MiF_Concours!B$3:J$52,9,TRUE),FALSE))</f>
        <v>0</v>
      </c>
      <c r="X23" s="4" t="b">
        <f>IF($E23="Perche ",IF($D23="MiF",VLOOKUP($Q23,MiF_Concours!C$3:J$52,8,TRUE),FALSE))</f>
        <v>0</v>
      </c>
      <c r="Y23" s="4" t="b">
        <f>IF($E23="Hauteur ",IF($D23="MiM",VLOOKUP($Q23,MiM_Concours!B$3:J$52,9,TRUE),FALSE))</f>
        <v>0</v>
      </c>
      <c r="Z23" s="4" t="b">
        <f>IF($E23="Perche ",IF($D23="MiM",VLOOKUP($Q23,MiM_Concours!C$3:J$52,8,TRUE),FALSE))</f>
        <v>0</v>
      </c>
      <c r="AA23" s="11"/>
    </row>
    <row r="24" spans="1:27" ht="15.75" thickBot="1">
      <c r="A24" s="60"/>
      <c r="B24" s="46"/>
      <c r="C24" s="70"/>
      <c r="D24" s="36" t="s">
        <v>54</v>
      </c>
      <c r="E24" s="37"/>
      <c r="F24" s="162"/>
      <c r="G24" s="109"/>
      <c r="H24" s="110"/>
      <c r="I24" s="110"/>
      <c r="J24" s="110"/>
      <c r="K24" s="110"/>
      <c r="L24" s="110"/>
      <c r="M24" s="110"/>
      <c r="N24" s="110"/>
      <c r="O24" s="110"/>
      <c r="P24" s="111"/>
      <c r="Q24" s="104">
        <f t="shared" si="0"/>
        <v>0</v>
      </c>
      <c r="R24" s="12">
        <f t="shared" si="1"/>
        <v>0</v>
      </c>
      <c r="S24" s="105" t="b">
        <f>IF($E24="Hauteur ",IF($D24="BeF",VLOOKUP($Q24,BeF_Concours!B$3:J$52,9,TRUE),FALSE))</f>
        <v>0</v>
      </c>
      <c r="T24" s="4" t="b">
        <f>IF($E24="Perche ",IF($D24="BeF",VLOOKUP($Q24,BeF_Concours!C$3:J$52,8,TRUE),FALSE))</f>
        <v>0</v>
      </c>
      <c r="U24" s="4" t="b">
        <f>IF($E24="Hauteur ",IF($D24="BeM",VLOOKUP($Q24,BeM_Concours!B$3:J$52,9,TRUE),FALSE))</f>
        <v>0</v>
      </c>
      <c r="V24" s="4" t="b">
        <f>IF($E24="Perche ",IF($D24="BeM",VLOOKUP($Q24,BeM_Concours!C$3:J$52,8,TRUE),FALSE))</f>
        <v>0</v>
      </c>
      <c r="W24" s="4" t="b">
        <f>IF($E24="Hauteur ",IF($D24="MiF",VLOOKUP($Q24,MiF_Concours!B$3:J$52,9,TRUE),FALSE))</f>
        <v>0</v>
      </c>
      <c r="X24" s="4" t="b">
        <f>IF($E24="Perche ",IF($D24="MiF",VLOOKUP($Q24,MiF_Concours!C$3:J$52,8,TRUE),FALSE))</f>
        <v>0</v>
      </c>
      <c r="Y24" s="4" t="b">
        <f>IF($E24="Hauteur ",IF($D24="MiM",VLOOKUP($Q24,MiM_Concours!B$3:J$52,9,TRUE),FALSE))</f>
        <v>0</v>
      </c>
      <c r="Z24" s="4" t="b">
        <f>IF($E24="Perche ",IF($D24="MiM",VLOOKUP($Q24,MiM_Concours!C$3:J$52,8,TRUE),FALSE))</f>
        <v>0</v>
      </c>
      <c r="AA24" s="11"/>
    </row>
    <row r="25" spans="1:27" ht="15">
      <c r="A25" s="60"/>
      <c r="B25" s="46"/>
      <c r="C25" s="70"/>
      <c r="D25" s="36" t="s">
        <v>55</v>
      </c>
      <c r="E25" s="37"/>
      <c r="F25" s="160" t="s">
        <v>210</v>
      </c>
      <c r="G25" s="101"/>
      <c r="H25" s="102"/>
      <c r="I25" s="102"/>
      <c r="J25" s="102"/>
      <c r="K25" s="102"/>
      <c r="L25" s="102"/>
      <c r="M25" s="102"/>
      <c r="N25" s="102"/>
      <c r="O25" s="102"/>
      <c r="P25" s="103"/>
      <c r="Q25" s="104">
        <f t="shared" si="0"/>
        <v>0</v>
      </c>
      <c r="R25" s="12">
        <f t="shared" si="1"/>
        <v>0</v>
      </c>
      <c r="S25" s="105" t="b">
        <f>IF($E25="Hauteur ",IF($D25="BeF",VLOOKUP($Q25,BeF_Concours!B$3:J$52,9,TRUE),FALSE))</f>
        <v>0</v>
      </c>
      <c r="T25" s="4" t="b">
        <f>IF($E25="Perche ",IF($D25="BeF",VLOOKUP($Q25,BeF_Concours!C$3:J$52,8,TRUE),FALSE))</f>
        <v>0</v>
      </c>
      <c r="U25" s="4" t="b">
        <f>IF($E25="Hauteur ",IF($D25="BeM",VLOOKUP($Q25,BeM_Concours!B$3:J$52,9,TRUE),FALSE))</f>
        <v>0</v>
      </c>
      <c r="V25" s="4" t="b">
        <f>IF($E25="Perche ",IF($D25="BeM",VLOOKUP($Q25,BeM_Concours!C$3:J$52,8,TRUE),FALSE))</f>
        <v>0</v>
      </c>
      <c r="W25" s="4" t="b">
        <f>IF($E25="Hauteur ",IF($D25="MiF",VLOOKUP($Q25,MiF_Concours!B$3:J$52,9,TRUE),FALSE))</f>
        <v>0</v>
      </c>
      <c r="X25" s="4" t="b">
        <f>IF($E25="Perche ",IF($D25="MiF",VLOOKUP($Q25,MiF_Concours!C$3:J$52,8,TRUE),FALSE))</f>
        <v>0</v>
      </c>
      <c r="Y25" s="4" t="b">
        <f>IF($E25="Hauteur ",IF($D25="MiM",VLOOKUP($Q25,MiM_Concours!B$3:J$52,9,TRUE),FALSE))</f>
        <v>0</v>
      </c>
      <c r="Z25" s="4" t="b">
        <f>IF($E25="Perche ",IF($D25="MiM",VLOOKUP($Q25,MiM_Concours!C$3:J$52,8,TRUE),FALSE))</f>
        <v>0</v>
      </c>
      <c r="AA25" s="11"/>
    </row>
    <row r="26" spans="1:27" ht="15">
      <c r="A26" s="60"/>
      <c r="B26" s="46"/>
      <c r="C26" s="70"/>
      <c r="D26" s="36" t="s">
        <v>55</v>
      </c>
      <c r="E26" s="37"/>
      <c r="F26" s="161" t="s">
        <v>211</v>
      </c>
      <c r="G26" s="106"/>
      <c r="H26" s="107"/>
      <c r="I26" s="107"/>
      <c r="J26" s="107"/>
      <c r="K26" s="107"/>
      <c r="L26" s="107"/>
      <c r="M26" s="107"/>
      <c r="N26" s="107"/>
      <c r="O26" s="107"/>
      <c r="P26" s="108"/>
      <c r="Q26" s="104">
        <f t="shared" si="0"/>
        <v>0</v>
      </c>
      <c r="R26" s="12">
        <f t="shared" si="1"/>
        <v>0</v>
      </c>
      <c r="S26" s="105" t="b">
        <f>IF($E26="Hauteur ",IF($D26="BeF",VLOOKUP($Q26,BeF_Concours!B$3:J$52,9,TRUE),FALSE))</f>
        <v>0</v>
      </c>
      <c r="T26" s="4" t="b">
        <f>IF($E26="Perche ",IF($D26="BeF",VLOOKUP($Q26,BeF_Concours!C$3:J$52,8,TRUE),FALSE))</f>
        <v>0</v>
      </c>
      <c r="U26" s="4" t="b">
        <f>IF($E26="Hauteur ",IF($D26="BeM",VLOOKUP($Q26,BeM_Concours!B$3:J$52,9,TRUE),FALSE))</f>
        <v>0</v>
      </c>
      <c r="V26" s="4" t="b">
        <f>IF($E26="Perche ",IF($D26="BeM",VLOOKUP($Q26,BeM_Concours!C$3:J$52,8,TRUE),FALSE))</f>
        <v>0</v>
      </c>
      <c r="W26" s="4" t="b">
        <f>IF($E26="Hauteur ",IF($D26="MiF",VLOOKUP($Q26,MiF_Concours!B$3:J$52,9,TRUE),FALSE))</f>
        <v>0</v>
      </c>
      <c r="X26" s="4" t="b">
        <f>IF($E26="Perche ",IF($D26="MiF",VLOOKUP($Q26,MiF_Concours!C$3:J$52,8,TRUE),FALSE))</f>
        <v>0</v>
      </c>
      <c r="Y26" s="4" t="b">
        <f>IF($E26="Hauteur ",IF($D26="MiM",VLOOKUP($Q26,MiM_Concours!B$3:J$52,9,TRUE),FALSE))</f>
        <v>0</v>
      </c>
      <c r="Z26" s="4" t="b">
        <f>IF($E26="Perche ",IF($D26="MiM",VLOOKUP($Q26,MiM_Concours!C$3:J$52,8,TRUE),FALSE))</f>
        <v>0</v>
      </c>
      <c r="AA26" s="11"/>
    </row>
    <row r="27" spans="1:27" ht="15">
      <c r="A27" s="60"/>
      <c r="B27" s="46"/>
      <c r="C27" s="70"/>
      <c r="D27" s="36" t="s">
        <v>55</v>
      </c>
      <c r="E27" s="37"/>
      <c r="F27" s="161" t="s">
        <v>212</v>
      </c>
      <c r="G27" s="106"/>
      <c r="H27" s="107"/>
      <c r="I27" s="107"/>
      <c r="J27" s="107"/>
      <c r="K27" s="107"/>
      <c r="L27" s="107"/>
      <c r="M27" s="107"/>
      <c r="N27" s="107"/>
      <c r="O27" s="107"/>
      <c r="P27" s="108"/>
      <c r="Q27" s="104">
        <f t="shared" si="0"/>
        <v>0</v>
      </c>
      <c r="R27" s="12">
        <f t="shared" si="1"/>
        <v>0</v>
      </c>
      <c r="S27" s="105" t="b">
        <f>IF($E27="Hauteur ",IF($D27="BeF",VLOOKUP($Q27,BeF_Concours!B$3:J$52,9,TRUE),FALSE))</f>
        <v>0</v>
      </c>
      <c r="T27" s="4" t="b">
        <f>IF($E27="Perche ",IF($D27="BeF",VLOOKUP($Q27,BeF_Concours!C$3:J$52,8,TRUE),FALSE))</f>
        <v>0</v>
      </c>
      <c r="U27" s="4" t="b">
        <f>IF($E27="Hauteur ",IF($D27="BeM",VLOOKUP($Q27,BeM_Concours!B$3:J$52,9,TRUE),FALSE))</f>
        <v>0</v>
      </c>
      <c r="V27" s="4" t="b">
        <f>IF($E27="Perche ",IF($D27="BeM",VLOOKUP($Q27,BeM_Concours!C$3:J$52,8,TRUE),FALSE))</f>
        <v>0</v>
      </c>
      <c r="W27" s="4" t="b">
        <f>IF($E27="Hauteur ",IF($D27="MiF",VLOOKUP($Q27,MiF_Concours!B$3:J$52,9,TRUE),FALSE))</f>
        <v>0</v>
      </c>
      <c r="X27" s="4" t="b">
        <f>IF($E27="Perche ",IF($D27="MiF",VLOOKUP($Q27,MiF_Concours!C$3:J$52,8,TRUE),FALSE))</f>
        <v>0</v>
      </c>
      <c r="Y27" s="4" t="b">
        <f>IF($E27="Hauteur ",IF($D27="MiM",VLOOKUP($Q27,MiM_Concours!B$3:J$52,9,TRUE),FALSE))</f>
        <v>0</v>
      </c>
      <c r="Z27" s="4" t="b">
        <f>IF($E27="Perche ",IF($D27="MiM",VLOOKUP($Q27,MiM_Concours!C$3:J$52,8,TRUE),FALSE))</f>
        <v>0</v>
      </c>
      <c r="AA27" s="11"/>
    </row>
    <row r="28" spans="1:27" ht="15">
      <c r="A28" s="60"/>
      <c r="B28" s="46"/>
      <c r="C28" s="70"/>
      <c r="D28" s="36" t="s">
        <v>55</v>
      </c>
      <c r="E28" s="37"/>
      <c r="F28" s="161" t="s">
        <v>213</v>
      </c>
      <c r="G28" s="106"/>
      <c r="H28" s="107"/>
      <c r="I28" s="107"/>
      <c r="J28" s="107"/>
      <c r="K28" s="107"/>
      <c r="L28" s="107"/>
      <c r="M28" s="107"/>
      <c r="N28" s="107"/>
      <c r="O28" s="107"/>
      <c r="P28" s="108"/>
      <c r="Q28" s="104">
        <f t="shared" si="0"/>
        <v>0</v>
      </c>
      <c r="R28" s="12">
        <f t="shared" si="1"/>
        <v>0</v>
      </c>
      <c r="S28" s="105" t="b">
        <f>IF($E28="Hauteur ",IF($D28="BeF",VLOOKUP($Q28,BeF_Concours!B$3:J$52,9,TRUE),FALSE))</f>
        <v>0</v>
      </c>
      <c r="T28" s="4" t="b">
        <f>IF($E28="Perche ",IF($D28="BeF",VLOOKUP($Q28,BeF_Concours!C$3:J$52,8,TRUE),FALSE))</f>
        <v>0</v>
      </c>
      <c r="U28" s="4" t="b">
        <f>IF($E28="Hauteur ",IF($D28="BeM",VLOOKUP($Q28,BeM_Concours!B$3:J$52,9,TRUE),FALSE))</f>
        <v>0</v>
      </c>
      <c r="V28" s="4" t="b">
        <f>IF($E28="Perche ",IF($D28="BeM",VLOOKUP($Q28,BeM_Concours!C$3:J$52,8,TRUE),FALSE))</f>
        <v>0</v>
      </c>
      <c r="W28" s="4" t="b">
        <f>IF($E28="Hauteur ",IF($D28="MiF",VLOOKUP($Q28,MiF_Concours!B$3:J$52,9,TRUE),FALSE))</f>
        <v>0</v>
      </c>
      <c r="X28" s="4" t="b">
        <f>IF($E28="Perche ",IF($D28="MiF",VLOOKUP($Q28,MiF_Concours!C$3:J$52,8,TRUE),FALSE))</f>
        <v>0</v>
      </c>
      <c r="Y28" s="4" t="b">
        <f>IF($E28="Hauteur ",IF($D28="MiM",VLOOKUP($Q28,MiM_Concours!B$3:J$52,9,TRUE),FALSE))</f>
        <v>0</v>
      </c>
      <c r="Z28" s="4" t="b">
        <f>IF($E28="Perche ",IF($D28="MiM",VLOOKUP($Q28,MiM_Concours!C$3:J$52,8,TRUE),FALSE))</f>
        <v>0</v>
      </c>
      <c r="AA28" s="11"/>
    </row>
    <row r="29" spans="1:27" ht="15">
      <c r="A29" s="60"/>
      <c r="B29" s="46"/>
      <c r="C29" s="70"/>
      <c r="D29" s="36" t="s">
        <v>55</v>
      </c>
      <c r="E29" s="37"/>
      <c r="F29" s="161" t="s">
        <v>214</v>
      </c>
      <c r="G29" s="106"/>
      <c r="H29" s="107"/>
      <c r="I29" s="107"/>
      <c r="J29" s="107"/>
      <c r="K29" s="107"/>
      <c r="L29" s="107"/>
      <c r="M29" s="107"/>
      <c r="N29" s="107"/>
      <c r="O29" s="107"/>
      <c r="P29" s="108"/>
      <c r="Q29" s="104">
        <f t="shared" si="0"/>
        <v>0</v>
      </c>
      <c r="R29" s="12">
        <f t="shared" si="1"/>
        <v>0</v>
      </c>
      <c r="S29" s="105" t="b">
        <f>IF($E29="Hauteur ",IF($D29="BeF",VLOOKUP($Q29,BeF_Concours!B$3:J$52,9,TRUE),FALSE))</f>
        <v>0</v>
      </c>
      <c r="T29" s="4" t="b">
        <f>IF($E29="Perche ",IF($D29="BeF",VLOOKUP($Q29,BeF_Concours!C$3:J$52,8,TRUE),FALSE))</f>
        <v>0</v>
      </c>
      <c r="U29" s="4" t="b">
        <f>IF($E29="Hauteur ",IF($D29="BeM",VLOOKUP($Q29,BeM_Concours!B$3:J$52,9,TRUE),FALSE))</f>
        <v>0</v>
      </c>
      <c r="V29" s="4" t="b">
        <f>IF($E29="Perche ",IF($D29="BeM",VLOOKUP($Q29,BeM_Concours!C$3:J$52,8,TRUE),FALSE))</f>
        <v>0</v>
      </c>
      <c r="W29" s="4" t="b">
        <f>IF($E29="Hauteur ",IF($D29="MiF",VLOOKUP($Q29,MiF_Concours!B$3:J$52,9,TRUE),FALSE))</f>
        <v>0</v>
      </c>
      <c r="X29" s="4" t="b">
        <f>IF($E29="Perche ",IF($D29="MiF",VLOOKUP($Q29,MiF_Concours!C$3:J$52,8,TRUE),FALSE))</f>
        <v>0</v>
      </c>
      <c r="Y29" s="4" t="b">
        <f>IF($E29="Hauteur ",IF($D29="MiM",VLOOKUP($Q29,MiM_Concours!B$3:J$52,9,TRUE),FALSE))</f>
        <v>0</v>
      </c>
      <c r="Z29" s="4" t="b">
        <f>IF($E29="Perche ",IF($D29="MiM",VLOOKUP($Q29,MiM_Concours!C$3:J$52,8,TRUE),FALSE))</f>
        <v>0</v>
      </c>
      <c r="AA29" s="11"/>
    </row>
    <row r="30" spans="1:27" ht="15.75" thickBot="1">
      <c r="A30" s="60"/>
      <c r="B30" s="46"/>
      <c r="C30" s="70"/>
      <c r="D30" s="36" t="s">
        <v>55</v>
      </c>
      <c r="E30" s="37"/>
      <c r="F30" s="162"/>
      <c r="G30" s="109"/>
      <c r="H30" s="110"/>
      <c r="I30" s="110"/>
      <c r="J30" s="110"/>
      <c r="K30" s="110"/>
      <c r="L30" s="110"/>
      <c r="M30" s="110"/>
      <c r="N30" s="110"/>
      <c r="O30" s="110"/>
      <c r="P30" s="111"/>
      <c r="Q30" s="104">
        <f t="shared" si="0"/>
        <v>0</v>
      </c>
      <c r="R30" s="12">
        <f t="shared" si="1"/>
        <v>0</v>
      </c>
      <c r="S30" s="105" t="b">
        <f>IF($E30="Hauteur ",IF($D30="BeF",VLOOKUP($Q30,BeF_Concours!B$3:J$52,9,TRUE),FALSE))</f>
        <v>0</v>
      </c>
      <c r="T30" s="4" t="b">
        <f>IF($E30="Perche ",IF($D30="BeF",VLOOKUP($Q30,BeF_Concours!C$3:J$52,8,TRUE),FALSE))</f>
        <v>0</v>
      </c>
      <c r="U30" s="4" t="b">
        <f>IF($E30="Hauteur ",IF($D30="BeM",VLOOKUP($Q30,BeM_Concours!B$3:J$52,9,TRUE),FALSE))</f>
        <v>0</v>
      </c>
      <c r="V30" s="4" t="b">
        <f>IF($E30="Perche ",IF($D30="BeM",VLOOKUP($Q30,BeM_Concours!C$3:J$52,8,TRUE),FALSE))</f>
        <v>0</v>
      </c>
      <c r="W30" s="4" t="b">
        <f>IF($E30="Hauteur ",IF($D30="MiF",VLOOKUP($Q30,MiF_Concours!B$3:J$52,9,TRUE),FALSE))</f>
        <v>0</v>
      </c>
      <c r="X30" s="4" t="b">
        <f>IF($E30="Perche ",IF($D30="MiF",VLOOKUP($Q30,MiF_Concours!C$3:J$52,8,TRUE),FALSE))</f>
        <v>0</v>
      </c>
      <c r="Y30" s="4" t="b">
        <f>IF($E30="Hauteur ",IF($D30="MiM",VLOOKUP($Q30,MiM_Concours!B$3:J$52,9,TRUE),FALSE))</f>
        <v>0</v>
      </c>
      <c r="Z30" s="4" t="b">
        <f>IF($E30="Perche ",IF($D30="MiM",VLOOKUP($Q30,MiM_Concours!C$3:J$52,8,TRUE),FALSE))</f>
        <v>0</v>
      </c>
      <c r="AA30" s="11"/>
    </row>
    <row r="31" spans="1:27" ht="15">
      <c r="A31" s="60"/>
      <c r="B31" s="46"/>
      <c r="C31" s="70"/>
      <c r="D31" s="36" t="s">
        <v>52</v>
      </c>
      <c r="E31" s="37"/>
      <c r="F31" s="160" t="s">
        <v>210</v>
      </c>
      <c r="G31" s="101"/>
      <c r="H31" s="102"/>
      <c r="I31" s="102"/>
      <c r="J31" s="102"/>
      <c r="K31" s="102"/>
      <c r="L31" s="102"/>
      <c r="M31" s="102"/>
      <c r="N31" s="102"/>
      <c r="O31" s="102"/>
      <c r="P31" s="103"/>
      <c r="Q31" s="104">
        <f t="shared" si="0"/>
        <v>0</v>
      </c>
      <c r="R31" s="12">
        <f t="shared" si="1"/>
        <v>0</v>
      </c>
      <c r="S31" s="105" t="b">
        <f>IF($E31="Hauteur ",IF($D31="BeF",VLOOKUP($Q31,BeF_Concours!B$3:J$52,9,TRUE),FALSE))</f>
        <v>0</v>
      </c>
      <c r="T31" s="4" t="b">
        <f>IF($E31="Perche ",IF($D31="BeF",VLOOKUP($Q31,BeF_Concours!C$3:J$52,8,TRUE),FALSE))</f>
        <v>0</v>
      </c>
      <c r="U31" s="4" t="b">
        <f>IF($E31="Hauteur ",IF($D31="BeM",VLOOKUP($Q31,BeM_Concours!B$3:J$52,9,TRUE),FALSE))</f>
        <v>0</v>
      </c>
      <c r="V31" s="4" t="b">
        <f>IF($E31="Perche ",IF($D31="BeM",VLOOKUP($Q31,BeM_Concours!C$3:J$52,8,TRUE),FALSE))</f>
        <v>0</v>
      </c>
      <c r="W31" s="4" t="b">
        <f>IF($E31="Hauteur ",IF($D31="MiF",VLOOKUP($Q31,MiF_Concours!B$3:J$52,9,TRUE),FALSE))</f>
        <v>0</v>
      </c>
      <c r="X31" s="4" t="b">
        <f>IF($E31="Perche ",IF($D31="MiF",VLOOKUP($Q31,MiF_Concours!C$3:J$52,8,TRUE),FALSE))</f>
        <v>0</v>
      </c>
      <c r="Y31" s="4" t="b">
        <f>IF($E31="Hauteur ",IF($D31="MiM",VLOOKUP($Q31,MiM_Concours!B$3:J$52,9,TRUE),FALSE))</f>
        <v>0</v>
      </c>
      <c r="Z31" s="4" t="b">
        <f>IF($E31="Perche ",IF($D31="MiM",VLOOKUP($Q31,MiM_Concours!C$3:J$52,8,TRUE),FALSE))</f>
        <v>0</v>
      </c>
      <c r="AA31" s="11"/>
    </row>
    <row r="32" spans="1:27" ht="15">
      <c r="A32" s="60"/>
      <c r="B32" s="46"/>
      <c r="C32" s="70"/>
      <c r="D32" s="36" t="s">
        <v>52</v>
      </c>
      <c r="E32" s="37"/>
      <c r="F32" s="161" t="s">
        <v>211</v>
      </c>
      <c r="G32" s="106"/>
      <c r="H32" s="107"/>
      <c r="I32" s="107"/>
      <c r="J32" s="107"/>
      <c r="K32" s="107"/>
      <c r="L32" s="107"/>
      <c r="M32" s="107"/>
      <c r="N32" s="107"/>
      <c r="O32" s="107"/>
      <c r="P32" s="108"/>
      <c r="Q32" s="104">
        <f t="shared" si="0"/>
        <v>0</v>
      </c>
      <c r="R32" s="12">
        <f t="shared" si="1"/>
        <v>0</v>
      </c>
      <c r="S32" s="105" t="b">
        <f>IF($E32="Hauteur ",IF($D32="BeF",VLOOKUP($Q32,BeF_Concours!B$3:J$52,9,TRUE),FALSE))</f>
        <v>0</v>
      </c>
      <c r="T32" s="4" t="b">
        <f>IF($E32="Perche ",IF($D32="BeF",VLOOKUP($Q32,BeF_Concours!C$3:J$52,8,TRUE),FALSE))</f>
        <v>0</v>
      </c>
      <c r="U32" s="4" t="b">
        <f>IF($E32="Hauteur ",IF($D32="BeM",VLOOKUP($Q32,BeM_Concours!B$3:J$52,9,TRUE),FALSE))</f>
        <v>0</v>
      </c>
      <c r="V32" s="4" t="b">
        <f>IF($E32="Perche ",IF($D32="BeM",VLOOKUP($Q32,BeM_Concours!C$3:J$52,8,TRUE),FALSE))</f>
        <v>0</v>
      </c>
      <c r="W32" s="4" t="b">
        <f>IF($E32="Hauteur ",IF($D32="MiF",VLOOKUP($Q32,MiF_Concours!B$3:J$52,9,TRUE),FALSE))</f>
        <v>0</v>
      </c>
      <c r="X32" s="4" t="b">
        <f>IF($E32="Perche ",IF($D32="MiF",VLOOKUP($Q32,MiF_Concours!C$3:J$52,8,TRUE),FALSE))</f>
        <v>0</v>
      </c>
      <c r="Y32" s="4" t="b">
        <f>IF($E32="Hauteur ",IF($D32="MiM",VLOOKUP($Q32,MiM_Concours!B$3:J$52,9,TRUE),FALSE))</f>
        <v>0</v>
      </c>
      <c r="Z32" s="4" t="b">
        <f>IF($E32="Perche ",IF($D32="MiM",VLOOKUP($Q32,MiM_Concours!C$3:J$52,8,TRUE),FALSE))</f>
        <v>0</v>
      </c>
      <c r="AA32" s="11"/>
    </row>
    <row r="33" spans="1:27" ht="15">
      <c r="A33" s="60"/>
      <c r="B33" s="46"/>
      <c r="C33" s="70"/>
      <c r="D33" s="36" t="s">
        <v>53</v>
      </c>
      <c r="E33" s="37"/>
      <c r="F33" s="161" t="s">
        <v>212</v>
      </c>
      <c r="G33" s="106"/>
      <c r="H33" s="107"/>
      <c r="I33" s="107"/>
      <c r="J33" s="107"/>
      <c r="K33" s="107"/>
      <c r="L33" s="107"/>
      <c r="M33" s="107"/>
      <c r="N33" s="107"/>
      <c r="O33" s="107"/>
      <c r="P33" s="108"/>
      <c r="Q33" s="104">
        <f t="shared" si="0"/>
        <v>0</v>
      </c>
      <c r="R33" s="12">
        <f t="shared" si="1"/>
        <v>0</v>
      </c>
      <c r="S33" s="105" t="b">
        <f>IF($E33="Hauteur ",IF($D33="BeF",VLOOKUP($Q33,BeF_Concours!B$3:J$52,9,TRUE),FALSE))</f>
        <v>0</v>
      </c>
      <c r="T33" s="4" t="b">
        <f>IF($E33="Perche ",IF($D33="BeF",VLOOKUP($Q33,BeF_Concours!C$3:J$52,8,TRUE),FALSE))</f>
        <v>0</v>
      </c>
      <c r="U33" s="4" t="b">
        <f>IF($E33="Hauteur ",IF($D33="BeM",VLOOKUP($Q33,BeM_Concours!B$3:J$52,9,TRUE),FALSE))</f>
        <v>0</v>
      </c>
      <c r="V33" s="4" t="b">
        <f>IF($E33="Perche ",IF($D33="BeM",VLOOKUP($Q33,BeM_Concours!C$3:J$52,8,TRUE),FALSE))</f>
        <v>0</v>
      </c>
      <c r="W33" s="4" t="b">
        <f>IF($E33="Hauteur ",IF($D33="MiF",VLOOKUP($Q33,MiF_Concours!B$3:J$52,9,TRUE),FALSE))</f>
        <v>0</v>
      </c>
      <c r="X33" s="4" t="b">
        <f>IF($E33="Perche ",IF($D33="MiF",VLOOKUP($Q33,MiF_Concours!C$3:J$52,8,TRUE),FALSE))</f>
        <v>0</v>
      </c>
      <c r="Y33" s="4" t="b">
        <f>IF($E33="Hauteur ",IF($D33="MiM",VLOOKUP($Q33,MiM_Concours!B$3:J$52,9,TRUE),FALSE))</f>
        <v>0</v>
      </c>
      <c r="Z33" s="4" t="b">
        <f>IF($E33="Perche ",IF($D33="MiM",VLOOKUP($Q33,MiM_Concours!C$3:J$52,8,TRUE),FALSE))</f>
        <v>0</v>
      </c>
      <c r="AA33" s="11"/>
    </row>
    <row r="34" spans="1:27" ht="15">
      <c r="A34" s="60"/>
      <c r="B34" s="46"/>
      <c r="C34" s="70"/>
      <c r="D34" s="36" t="s">
        <v>54</v>
      </c>
      <c r="E34" s="37"/>
      <c r="F34" s="161" t="s">
        <v>213</v>
      </c>
      <c r="G34" s="106"/>
      <c r="H34" s="107"/>
      <c r="I34" s="107"/>
      <c r="J34" s="107"/>
      <c r="K34" s="107"/>
      <c r="L34" s="107"/>
      <c r="M34" s="107"/>
      <c r="N34" s="107"/>
      <c r="O34" s="107"/>
      <c r="P34" s="108"/>
      <c r="Q34" s="104">
        <f t="shared" si="0"/>
        <v>0</v>
      </c>
      <c r="R34" s="12">
        <f t="shared" si="1"/>
        <v>0</v>
      </c>
      <c r="S34" s="105" t="b">
        <f>IF($E34="Hauteur ",IF($D34="BeF",VLOOKUP($Q34,BeF_Concours!B$3:J$52,9,TRUE),FALSE))</f>
        <v>0</v>
      </c>
      <c r="T34" s="4" t="b">
        <f>IF($E34="Perche ",IF($D34="BeF",VLOOKUP($Q34,BeF_Concours!C$3:J$52,8,TRUE),FALSE))</f>
        <v>0</v>
      </c>
      <c r="U34" s="4" t="b">
        <f>IF($E34="Hauteur ",IF($D34="BeM",VLOOKUP($Q34,BeM_Concours!B$3:J$52,9,TRUE),FALSE))</f>
        <v>0</v>
      </c>
      <c r="V34" s="4" t="b">
        <f>IF($E34="Perche ",IF($D34="BeM",VLOOKUP($Q34,BeM_Concours!C$3:J$52,8,TRUE),FALSE))</f>
        <v>0</v>
      </c>
      <c r="W34" s="4" t="b">
        <f>IF($E34="Hauteur ",IF($D34="MiF",VLOOKUP($Q34,MiF_Concours!B$3:J$52,9,TRUE),FALSE))</f>
        <v>0</v>
      </c>
      <c r="X34" s="4" t="b">
        <f>IF($E34="Perche ",IF($D34="MiF",VLOOKUP($Q34,MiF_Concours!C$3:J$52,8,TRUE),FALSE))</f>
        <v>0</v>
      </c>
      <c r="Y34" s="4" t="b">
        <f>IF($E34="Hauteur ",IF($D34="MiM",VLOOKUP($Q34,MiM_Concours!B$3:J$52,9,TRUE),FALSE))</f>
        <v>0</v>
      </c>
      <c r="Z34" s="4" t="b">
        <f>IF($E34="Perche ",IF($D34="MiM",VLOOKUP($Q34,MiM_Concours!C$3:J$52,8,TRUE),FALSE))</f>
        <v>0</v>
      </c>
      <c r="AA34" s="11"/>
    </row>
    <row r="35" spans="1:27" ht="15">
      <c r="A35" s="60"/>
      <c r="B35" s="46"/>
      <c r="C35" s="70"/>
      <c r="D35" s="36" t="s">
        <v>54</v>
      </c>
      <c r="E35" s="37"/>
      <c r="F35" s="161" t="s">
        <v>214</v>
      </c>
      <c r="G35" s="106"/>
      <c r="H35" s="107"/>
      <c r="I35" s="107"/>
      <c r="J35" s="107"/>
      <c r="K35" s="107"/>
      <c r="L35" s="107"/>
      <c r="M35" s="107"/>
      <c r="N35" s="107"/>
      <c r="O35" s="107"/>
      <c r="P35" s="108"/>
      <c r="Q35" s="104">
        <f t="shared" si="0"/>
        <v>0</v>
      </c>
      <c r="R35" s="12">
        <f t="shared" si="1"/>
        <v>0</v>
      </c>
      <c r="S35" s="105" t="b">
        <f>IF($E35="Hauteur ",IF($D35="BeF",VLOOKUP($Q35,BeF_Concours!B$3:J$52,9,TRUE),FALSE))</f>
        <v>0</v>
      </c>
      <c r="T35" s="4" t="b">
        <f>IF($E35="Perche ",IF($D35="BeF",VLOOKUP($Q35,BeF_Concours!C$3:J$52,8,TRUE),FALSE))</f>
        <v>0</v>
      </c>
      <c r="U35" s="4" t="b">
        <f>IF($E35="Hauteur ",IF($D35="BeM",VLOOKUP($Q35,BeM_Concours!B$3:J$52,9,TRUE),FALSE))</f>
        <v>0</v>
      </c>
      <c r="V35" s="4" t="b">
        <f>IF($E35="Perche ",IF($D35="BeM",VLOOKUP($Q35,BeM_Concours!C$3:J$52,8,TRUE),FALSE))</f>
        <v>0</v>
      </c>
      <c r="W35" s="4" t="b">
        <f>IF($E35="Hauteur ",IF($D35="MiF",VLOOKUP($Q35,MiF_Concours!B$3:J$52,9,TRUE),FALSE))</f>
        <v>0</v>
      </c>
      <c r="X35" s="4" t="b">
        <f>IF($E35="Perche ",IF($D35="MiF",VLOOKUP($Q35,MiF_Concours!C$3:J$52,8,TRUE),FALSE))</f>
        <v>0</v>
      </c>
      <c r="Y35" s="4" t="b">
        <f>IF($E35="Hauteur ",IF($D35="MiM",VLOOKUP($Q35,MiM_Concours!B$3:J$52,9,TRUE),FALSE))</f>
        <v>0</v>
      </c>
      <c r="Z35" s="4" t="b">
        <f>IF($E35="Perche ",IF($D35="MiM",VLOOKUP($Q35,MiM_Concours!C$3:J$52,8,TRUE),FALSE))</f>
        <v>0</v>
      </c>
      <c r="AA35" s="11"/>
    </row>
    <row r="36" spans="1:27" ht="15">
      <c r="A36" s="60"/>
      <c r="B36" s="46"/>
      <c r="C36" s="70"/>
      <c r="D36" s="36" t="s">
        <v>55</v>
      </c>
      <c r="E36" s="37"/>
      <c r="F36" s="161"/>
      <c r="G36" s="106"/>
      <c r="H36" s="107"/>
      <c r="I36" s="107"/>
      <c r="J36" s="107"/>
      <c r="K36" s="107"/>
      <c r="L36" s="107"/>
      <c r="M36" s="107"/>
      <c r="N36" s="107"/>
      <c r="O36" s="107"/>
      <c r="P36" s="108"/>
      <c r="Q36" s="104">
        <f t="shared" si="0"/>
        <v>0</v>
      </c>
      <c r="R36" s="12">
        <f t="shared" si="1"/>
        <v>0</v>
      </c>
      <c r="S36" s="105" t="b">
        <f>IF($E36="Hauteur ",IF($D36="BeF",VLOOKUP($Q36,BeF_Concours!B$3:J$52,9,TRUE),FALSE))</f>
        <v>0</v>
      </c>
      <c r="T36" s="4" t="b">
        <f>IF($E36="Perche ",IF($D36="BeF",VLOOKUP($Q36,BeF_Concours!C$3:J$52,8,TRUE),FALSE))</f>
        <v>0</v>
      </c>
      <c r="U36" s="4" t="b">
        <f>IF($E36="Hauteur ",IF($D36="BeM",VLOOKUP($Q36,BeM_Concours!B$3:J$52,9,TRUE),FALSE))</f>
        <v>0</v>
      </c>
      <c r="V36" s="4" t="b">
        <f>IF($E36="Perche ",IF($D36="BeM",VLOOKUP($Q36,BeM_Concours!C$3:J$52,8,TRUE),FALSE))</f>
        <v>0</v>
      </c>
      <c r="W36" s="4" t="b">
        <f>IF($E36="Hauteur ",IF($D36="MiF",VLOOKUP($Q36,MiF_Concours!B$3:J$52,9,TRUE),FALSE))</f>
        <v>0</v>
      </c>
      <c r="X36" s="4" t="b">
        <f>IF($E36="Perche ",IF($D36="MiF",VLOOKUP($Q36,MiF_Concours!C$3:J$52,8,TRUE),FALSE))</f>
        <v>0</v>
      </c>
      <c r="Y36" s="4" t="b">
        <f>IF($E36="Hauteur ",IF($D36="MiM",VLOOKUP($Q36,MiM_Concours!B$3:J$52,9,TRUE),FALSE))</f>
        <v>0</v>
      </c>
      <c r="Z36" s="4" t="b">
        <f>IF($E36="Perche ",IF($D36="MiM",VLOOKUP($Q36,MiM_Concours!C$3:J$52,8,TRUE),FALSE))</f>
        <v>0</v>
      </c>
      <c r="AA36" s="11"/>
    </row>
    <row r="37" spans="1:27" ht="15.75" thickBot="1">
      <c r="A37" s="62"/>
      <c r="B37" s="63"/>
      <c r="C37" s="71"/>
      <c r="D37" s="38" t="s">
        <v>55</v>
      </c>
      <c r="E37" s="39"/>
      <c r="F37" s="162"/>
      <c r="G37" s="109"/>
      <c r="H37" s="110"/>
      <c r="I37" s="110"/>
      <c r="J37" s="110"/>
      <c r="K37" s="110"/>
      <c r="L37" s="110"/>
      <c r="M37" s="110"/>
      <c r="N37" s="110"/>
      <c r="O37" s="110"/>
      <c r="P37" s="111"/>
      <c r="Q37" s="112">
        <f t="shared" si="0"/>
        <v>0</v>
      </c>
      <c r="R37" s="12">
        <f t="shared" si="1"/>
        <v>0</v>
      </c>
      <c r="S37" s="105" t="b">
        <f>IF($E37="Hauteur ",IF($D37="BeF",VLOOKUP($Q37,BeF_Concours!B$3:J$52,9,TRUE),FALSE))</f>
        <v>0</v>
      </c>
      <c r="T37" s="4" t="b">
        <f>IF($E37="Perche ",IF($D37="BeF",VLOOKUP($Q37,BeF_Concours!C$3:J$52,8,TRUE),FALSE))</f>
        <v>0</v>
      </c>
      <c r="U37" s="4" t="b">
        <f>IF($E37="Hauteur ",IF($D37="BeM",VLOOKUP($Q37,BeM_Concours!B$3:J$52,9,TRUE),FALSE))</f>
        <v>0</v>
      </c>
      <c r="V37" s="4" t="b">
        <f>IF($E37="Perche ",IF($D37="BeM",VLOOKUP($Q37,BeM_Concours!C$3:J$52,8,TRUE),FALSE))</f>
        <v>0</v>
      </c>
      <c r="W37" s="4" t="b">
        <f>IF($E37="Hauteur ",IF($D37="MiF",VLOOKUP($Q37,MiF_Concours!B$3:J$52,9,TRUE),FALSE))</f>
        <v>0</v>
      </c>
      <c r="X37" s="4" t="b">
        <f>IF($E37="Perche ",IF($D37="MiF",VLOOKUP($Q37,MiF_Concours!C$3:J$52,8,TRUE),FALSE))</f>
        <v>0</v>
      </c>
      <c r="Y37" s="4" t="b">
        <f>IF($E37="Hauteur ",IF($D37="MiM",VLOOKUP($Q37,MiM_Concours!B$3:J$52,9,TRUE),FALSE))</f>
        <v>0</v>
      </c>
      <c r="Z37" s="4" t="b">
        <f>IF($E37="Perche ",IF($D37="MiM",VLOOKUP($Q37,MiM_Concours!C$3:J$52,8,TRUE),FALSE))</f>
        <v>0</v>
      </c>
      <c r="AA37" s="11"/>
    </row>
  </sheetData>
  <sheetProtection password="D2F3" sheet="1" objects="1" scenarios="1" selectLockedCells="1"/>
  <mergeCells count="9">
    <mergeCell ref="A2:R2"/>
    <mergeCell ref="C3:L3"/>
    <mergeCell ref="N3:R3"/>
    <mergeCell ref="B4:B5"/>
    <mergeCell ref="C4:M5"/>
    <mergeCell ref="N4:O4"/>
    <mergeCell ref="P4:Q4"/>
    <mergeCell ref="N5:O5"/>
    <mergeCell ref="P5:Q5"/>
  </mergeCells>
  <dataValidations count="3">
    <dataValidation type="list" allowBlank="1" showInputMessage="1" showErrorMessage="1" sqref="E7:E37">
      <formula1>$T$2:$T$4</formula1>
    </dataValidation>
    <dataValidation type="list" allowBlank="1" showInputMessage="1" showErrorMessage="1" sqref="D7:D37">
      <formula1>$Y$2:$Y$5</formula1>
    </dataValidation>
    <dataValidation type="list" allowBlank="1" showInputMessage="1" showErrorMessage="1" sqref="B3">
      <formula1>$T$1:$T$5</formula1>
    </dataValidation>
  </dataValidations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scale="65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7"/>
  <sheetViews>
    <sheetView workbookViewId="0" topLeftCell="A4">
      <selection activeCell="A7" sqref="A7:C37"/>
    </sheetView>
  </sheetViews>
  <sheetFormatPr defaultColWidth="11.421875" defaultRowHeight="15"/>
  <cols>
    <col min="1" max="2" width="18.28125" style="0" customWidth="1"/>
    <col min="3" max="3" width="20.140625" style="0" customWidth="1"/>
    <col min="4" max="5" width="18.00390625" style="2" customWidth="1"/>
    <col min="6" max="6" width="14.8515625" style="2" customWidth="1"/>
    <col min="7" max="16" width="8.7109375" style="0" customWidth="1"/>
    <col min="17" max="17" width="12.57421875" style="0" customWidth="1"/>
    <col min="18" max="18" width="13.8515625" style="2" bestFit="1" customWidth="1"/>
    <col min="19" max="19" width="11.421875" style="11" hidden="1" customWidth="1"/>
    <col min="20" max="26" width="11.421875" style="0" hidden="1" customWidth="1"/>
  </cols>
  <sheetData>
    <row r="1" spans="1:27" ht="180.75" customHeight="1" thickBot="1">
      <c r="A1" s="5"/>
      <c r="B1" s="6"/>
      <c r="C1" s="6"/>
      <c r="D1" s="99"/>
      <c r="E1" s="99"/>
      <c r="F1" s="99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99"/>
      <c r="S1" s="5"/>
      <c r="AA1" s="11"/>
    </row>
    <row r="2" spans="1:27" ht="24" thickBot="1">
      <c r="A2" s="240" t="s">
        <v>323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54"/>
      <c r="T2" t="s">
        <v>193</v>
      </c>
      <c r="U2" t="s">
        <v>194</v>
      </c>
      <c r="AA2" s="11"/>
    </row>
    <row r="3" spans="1:27" ht="15.75" thickBot="1">
      <c r="A3" s="21" t="s">
        <v>195</v>
      </c>
      <c r="B3" s="22"/>
      <c r="C3" s="252" t="str">
        <f>IF(B3="Hauteur ",U2,IF(B3="Perche ",U4," "))</f>
        <v/>
      </c>
      <c r="D3" s="253"/>
      <c r="E3" s="253"/>
      <c r="F3" s="253"/>
      <c r="G3" s="253"/>
      <c r="H3" s="254"/>
      <c r="I3" s="254"/>
      <c r="J3" s="254"/>
      <c r="K3" s="254"/>
      <c r="L3" s="255"/>
      <c r="M3" s="23" t="s">
        <v>62</v>
      </c>
      <c r="N3" s="206"/>
      <c r="O3" s="206"/>
      <c r="P3" s="206"/>
      <c r="Q3" s="206"/>
      <c r="R3" s="207"/>
      <c r="U3" t="s">
        <v>10</v>
      </c>
      <c r="AA3" s="11"/>
    </row>
    <row r="4" spans="1:27" ht="15">
      <c r="A4" s="115" t="s">
        <v>0</v>
      </c>
      <c r="B4" s="256" t="s">
        <v>61</v>
      </c>
      <c r="C4" s="258"/>
      <c r="D4" s="259"/>
      <c r="E4" s="259"/>
      <c r="F4" s="259"/>
      <c r="G4" s="259"/>
      <c r="H4" s="260"/>
      <c r="I4" s="260"/>
      <c r="J4" s="260"/>
      <c r="K4" s="260"/>
      <c r="L4" s="260"/>
      <c r="M4" s="261"/>
      <c r="N4" s="266" t="s">
        <v>1</v>
      </c>
      <c r="O4" s="267"/>
      <c r="P4" s="217" t="s">
        <v>2</v>
      </c>
      <c r="Q4" s="218"/>
      <c r="R4" s="10"/>
      <c r="T4" t="s">
        <v>196</v>
      </c>
      <c r="U4" t="s">
        <v>197</v>
      </c>
      <c r="Y4" t="s">
        <v>54</v>
      </c>
      <c r="AA4" s="11"/>
    </row>
    <row r="5" spans="1:27" ht="15.75" thickBot="1">
      <c r="A5" s="24"/>
      <c r="B5" s="257"/>
      <c r="C5" s="262"/>
      <c r="D5" s="263"/>
      <c r="E5" s="263"/>
      <c r="F5" s="263"/>
      <c r="G5" s="263"/>
      <c r="H5" s="264"/>
      <c r="I5" s="264"/>
      <c r="J5" s="264"/>
      <c r="K5" s="264"/>
      <c r="L5" s="264"/>
      <c r="M5" s="265"/>
      <c r="N5" s="221"/>
      <c r="O5" s="222"/>
      <c r="P5" s="221"/>
      <c r="Q5" s="222"/>
      <c r="R5" s="10"/>
      <c r="U5" t="s">
        <v>10</v>
      </c>
      <c r="Y5" t="s">
        <v>55</v>
      </c>
      <c r="AA5" s="11"/>
    </row>
    <row r="6" spans="1:27" ht="30" customHeight="1" thickBot="1">
      <c r="A6" s="19" t="s">
        <v>3</v>
      </c>
      <c r="B6" s="20" t="s">
        <v>4</v>
      </c>
      <c r="C6" s="20" t="s">
        <v>5</v>
      </c>
      <c r="D6" s="20" t="s">
        <v>324</v>
      </c>
      <c r="E6" s="20" t="s">
        <v>198</v>
      </c>
      <c r="F6" s="20" t="s">
        <v>199</v>
      </c>
      <c r="G6" s="20" t="s">
        <v>200</v>
      </c>
      <c r="H6" s="20" t="s">
        <v>201</v>
      </c>
      <c r="I6" s="20" t="s">
        <v>202</v>
      </c>
      <c r="J6" s="20" t="s">
        <v>203</v>
      </c>
      <c r="K6" s="20" t="s">
        <v>204</v>
      </c>
      <c r="L6" s="20" t="s">
        <v>205</v>
      </c>
      <c r="M6" s="20" t="s">
        <v>206</v>
      </c>
      <c r="N6" s="20" t="s">
        <v>207</v>
      </c>
      <c r="O6" s="20" t="s">
        <v>208</v>
      </c>
      <c r="P6" s="20" t="s">
        <v>209</v>
      </c>
      <c r="Q6" s="20" t="s">
        <v>121</v>
      </c>
      <c r="R6" s="20" t="s">
        <v>6</v>
      </c>
      <c r="S6" s="11" t="s">
        <v>52</v>
      </c>
      <c r="T6" t="s">
        <v>122</v>
      </c>
      <c r="U6" t="s">
        <v>53</v>
      </c>
      <c r="V6" t="s">
        <v>125</v>
      </c>
      <c r="W6" t="s">
        <v>54</v>
      </c>
      <c r="X6" t="s">
        <v>128</v>
      </c>
      <c r="Y6" t="s">
        <v>55</v>
      </c>
      <c r="Z6" t="s">
        <v>58</v>
      </c>
      <c r="AA6" s="11"/>
    </row>
    <row r="7" spans="1:27" ht="15">
      <c r="A7" s="56"/>
      <c r="B7" s="57"/>
      <c r="C7" s="69"/>
      <c r="D7" s="34" t="s">
        <v>54</v>
      </c>
      <c r="E7" s="35"/>
      <c r="F7" s="163" t="s">
        <v>210</v>
      </c>
      <c r="G7" s="101"/>
      <c r="H7" s="102"/>
      <c r="I7" s="102"/>
      <c r="J7" s="102"/>
      <c r="K7" s="102"/>
      <c r="L7" s="102"/>
      <c r="M7" s="102"/>
      <c r="N7" s="102"/>
      <c r="O7" s="102"/>
      <c r="P7" s="103"/>
      <c r="Q7" s="104">
        <f aca="true" t="shared" si="0" ref="Q7:Q37">MAX(G7,H7,I7,J7,K7,L7,M7,N7,O7,P7)</f>
        <v>0</v>
      </c>
      <c r="R7" s="12">
        <f>MAX(S7,T7,U7,V7,W7,X7,Y7,Z7,)</f>
        <v>0</v>
      </c>
      <c r="S7" s="105" t="b">
        <f>IF($E7="Hauteur ",IF($D7="BeF",VLOOKUP($Q7,BeF_Concours!B$3:J$52,9,TRUE),FALSE))</f>
        <v>0</v>
      </c>
      <c r="T7" s="4" t="b">
        <f>IF($E7="Perche ",IF($D7="BeF",VLOOKUP($Q7,BeF_Concours!C$3:J$52,8,TRUE),FALSE))</f>
        <v>0</v>
      </c>
      <c r="U7" s="4" t="b">
        <f>IF($E7="Hauteur ",IF($D7="BeM",VLOOKUP($Q7,BeM_Concours!B$3:J$52,9,TRUE),FALSE))</f>
        <v>0</v>
      </c>
      <c r="V7" s="4" t="b">
        <f>IF($E7="Perche ",IF($D7="BeM",VLOOKUP($Q7,BeM_Concours!C$3:J$52,8,TRUE),FALSE))</f>
        <v>0</v>
      </c>
      <c r="W7" s="4" t="b">
        <f>IF($E7="Hauteur ",IF($D7="MiF",VLOOKUP($Q7,MiF_Concours!B$3:J$52,9,TRUE),FALSE))</f>
        <v>0</v>
      </c>
      <c r="X7" s="4" t="b">
        <f>IF($E7="Perche ",IF($D7="MiF",VLOOKUP($Q7,MiF_Concours!C$3:J$52,8,TRUE),FALSE))</f>
        <v>0</v>
      </c>
      <c r="Y7" s="4" t="b">
        <f>IF($E7="Hauteur ",IF($D7="MiM",VLOOKUP($Q7,MiM_Concours!B$3:J$52,9,TRUE),FALSE))</f>
        <v>0</v>
      </c>
      <c r="Z7" s="4" t="b">
        <f>IF($E7="Perche ",IF($D7="MiM",VLOOKUP($Q7,MiM_Concours!C$3:J$52,8,TRUE),FALSE))</f>
        <v>0</v>
      </c>
      <c r="AA7" s="11"/>
    </row>
    <row r="8" spans="1:27" ht="15">
      <c r="A8" s="60"/>
      <c r="B8" s="46"/>
      <c r="C8" s="70"/>
      <c r="D8" s="36" t="s">
        <v>54</v>
      </c>
      <c r="E8" s="37"/>
      <c r="F8" s="164" t="s">
        <v>211</v>
      </c>
      <c r="G8" s="106"/>
      <c r="H8" s="107"/>
      <c r="I8" s="107"/>
      <c r="J8" s="107"/>
      <c r="K8" s="107"/>
      <c r="L8" s="107"/>
      <c r="M8" s="107"/>
      <c r="N8" s="107"/>
      <c r="O8" s="107"/>
      <c r="P8" s="108"/>
      <c r="Q8" s="104">
        <f t="shared" si="0"/>
        <v>0</v>
      </c>
      <c r="R8" s="12">
        <f aca="true" t="shared" si="1" ref="R8:R37">MAX(S8,T8,U8,V8,W8,X8,Y8,Z8,)</f>
        <v>0</v>
      </c>
      <c r="S8" s="105" t="b">
        <f>IF($E8="Hauteur ",IF($D8="BeF",VLOOKUP($Q8,BeF_Concours!B$3:J$52,9,TRUE),FALSE))</f>
        <v>0</v>
      </c>
      <c r="T8" s="4" t="b">
        <f>IF($E8="Perche ",IF($D8="BeF",VLOOKUP($Q8,BeF_Concours!C$3:J$52,8,TRUE),FALSE))</f>
        <v>0</v>
      </c>
      <c r="U8" s="4" t="b">
        <f>IF($E8="Hauteur ",IF($D8="BeM",VLOOKUP($Q8,BeM_Concours!B$3:J$52,9,TRUE),FALSE))</f>
        <v>0</v>
      </c>
      <c r="V8" s="4" t="b">
        <f>IF($E8="Perche ",IF($D8="BeM",VLOOKUP($Q8,BeM_Concours!C$3:J$52,8,TRUE),FALSE))</f>
        <v>0</v>
      </c>
      <c r="W8" s="4" t="b">
        <f>IF($E8="Hauteur ",IF($D8="MiF",VLOOKUP($Q8,MiF_Concours!B$3:J$52,9,TRUE),FALSE))</f>
        <v>0</v>
      </c>
      <c r="X8" s="4" t="b">
        <f>IF($E8="Perche ",IF($D8="MiF",VLOOKUP($Q8,MiF_Concours!C$3:J$52,8,TRUE),FALSE))</f>
        <v>0</v>
      </c>
      <c r="Y8" s="4" t="b">
        <f>IF($E8="Hauteur ",IF($D8="MiM",VLOOKUP($Q8,MiM_Concours!B$3:J$52,9,TRUE),FALSE))</f>
        <v>0</v>
      </c>
      <c r="Z8" s="4" t="b">
        <f>IF($E8="Perche ",IF($D8="MiM",VLOOKUP($Q8,MiM_Concours!C$3:J$52,8,TRUE),FALSE))</f>
        <v>0</v>
      </c>
      <c r="AA8" s="11"/>
    </row>
    <row r="9" spans="1:27" ht="15">
      <c r="A9" s="60"/>
      <c r="B9" s="46"/>
      <c r="C9" s="70"/>
      <c r="D9" s="47" t="s">
        <v>55</v>
      </c>
      <c r="E9" s="37"/>
      <c r="F9" s="164" t="s">
        <v>212</v>
      </c>
      <c r="G9" s="106"/>
      <c r="H9" s="107"/>
      <c r="I9" s="107"/>
      <c r="J9" s="107"/>
      <c r="K9" s="107"/>
      <c r="L9" s="107"/>
      <c r="M9" s="107"/>
      <c r="N9" s="107"/>
      <c r="O9" s="107"/>
      <c r="P9" s="108"/>
      <c r="Q9" s="104">
        <f t="shared" si="0"/>
        <v>0</v>
      </c>
      <c r="R9" s="12">
        <f t="shared" si="1"/>
        <v>0</v>
      </c>
      <c r="S9" s="105" t="b">
        <f>IF($E9="Hauteur ",IF($D9="BeF",VLOOKUP($Q9,BeF_Concours!B$3:J$52,9,TRUE),FALSE))</f>
        <v>0</v>
      </c>
      <c r="T9" s="4" t="b">
        <f>IF($E9="Perche ",IF($D9="BeF",VLOOKUP($Q9,BeF_Concours!C$3:J$52,8,TRUE),FALSE))</f>
        <v>0</v>
      </c>
      <c r="U9" s="4" t="b">
        <f>IF($E9="Hauteur ",IF($D9="BeM",VLOOKUP($Q9,BeM_Concours!B$3:J$52,9,TRUE),FALSE))</f>
        <v>0</v>
      </c>
      <c r="V9" s="4" t="b">
        <f>IF($E9="Perche ",IF($D9="BeM",VLOOKUP($Q9,BeM_Concours!C$3:J$52,8,TRUE),FALSE))</f>
        <v>0</v>
      </c>
      <c r="W9" s="4" t="b">
        <f>IF($E9="Hauteur ",IF($D9="MiF",VLOOKUP($Q9,MiF_Concours!B$3:J$52,9,TRUE),FALSE))</f>
        <v>0</v>
      </c>
      <c r="X9" s="4" t="b">
        <f>IF($E9="Perche ",IF($D9="MiF",VLOOKUP($Q9,MiF_Concours!C$3:J$52,8,TRUE),FALSE))</f>
        <v>0</v>
      </c>
      <c r="Y9" s="4" t="b">
        <f>IF($E9="Hauteur ",IF($D9="MiM",VLOOKUP($Q9,MiM_Concours!B$3:J$52,9,TRUE),FALSE))</f>
        <v>0</v>
      </c>
      <c r="Z9" s="4" t="b">
        <f>IF($E9="Perche ",IF($D9="MiM",VLOOKUP($Q9,MiM_Concours!C$3:J$52,8,TRUE),FALSE))</f>
        <v>0</v>
      </c>
      <c r="AA9" s="11"/>
    </row>
    <row r="10" spans="1:27" ht="15">
      <c r="A10" s="60"/>
      <c r="B10" s="46"/>
      <c r="C10" s="70"/>
      <c r="D10" s="47" t="s">
        <v>54</v>
      </c>
      <c r="E10" s="37"/>
      <c r="F10" s="164" t="s">
        <v>213</v>
      </c>
      <c r="G10" s="106"/>
      <c r="H10" s="107"/>
      <c r="I10" s="107"/>
      <c r="J10" s="107"/>
      <c r="K10" s="107"/>
      <c r="L10" s="107"/>
      <c r="M10" s="107"/>
      <c r="N10" s="107"/>
      <c r="O10" s="107"/>
      <c r="P10" s="108"/>
      <c r="Q10" s="104">
        <f t="shared" si="0"/>
        <v>0</v>
      </c>
      <c r="R10" s="12">
        <f t="shared" si="1"/>
        <v>0</v>
      </c>
      <c r="S10" s="105" t="b">
        <f>IF($E10="Hauteur ",IF($D10="BeF",VLOOKUP($Q10,BeF_Concours!B$3:J$52,9,TRUE),FALSE))</f>
        <v>0</v>
      </c>
      <c r="T10" s="4" t="b">
        <f>IF($E10="Perche ",IF($D10="BeF",VLOOKUP($Q10,BeF_Concours!C$3:J$52,8,TRUE),FALSE))</f>
        <v>0</v>
      </c>
      <c r="U10" s="4" t="b">
        <f>IF($E10="Hauteur ",IF($D10="BeM",VLOOKUP($Q10,BeM_Concours!B$3:J$52,9,TRUE),FALSE))</f>
        <v>0</v>
      </c>
      <c r="V10" s="4" t="b">
        <f>IF($E10="Perche ",IF($D10="BeM",VLOOKUP($Q10,BeM_Concours!C$3:J$52,8,TRUE),FALSE))</f>
        <v>0</v>
      </c>
      <c r="W10" s="4" t="b">
        <f>IF($E10="Hauteur ",IF($D10="MiF",VLOOKUP($Q10,MiF_Concours!B$3:J$52,9,TRUE),FALSE))</f>
        <v>0</v>
      </c>
      <c r="X10" s="4" t="b">
        <f>IF($E10="Perche ",IF($D10="MiF",VLOOKUP($Q10,MiF_Concours!C$3:J$52,8,TRUE),FALSE))</f>
        <v>0</v>
      </c>
      <c r="Y10" s="4" t="b">
        <f>IF($E10="Hauteur ",IF($D10="MiM",VLOOKUP($Q10,MiM_Concours!B$3:J$52,9,TRUE),FALSE))</f>
        <v>0</v>
      </c>
      <c r="Z10" s="4" t="b">
        <f>IF($E10="Perche ",IF($D10="MiM",VLOOKUP($Q10,MiM_Concours!C$3:J$52,8,TRUE),FALSE))</f>
        <v>0</v>
      </c>
      <c r="AA10" s="11"/>
    </row>
    <row r="11" spans="1:27" ht="15">
      <c r="A11" s="60"/>
      <c r="B11" s="46"/>
      <c r="C11" s="70"/>
      <c r="D11" s="47" t="s">
        <v>55</v>
      </c>
      <c r="E11" s="37"/>
      <c r="F11" s="164" t="s">
        <v>214</v>
      </c>
      <c r="G11" s="106"/>
      <c r="H11" s="107"/>
      <c r="I11" s="107"/>
      <c r="J11" s="107"/>
      <c r="K11" s="107"/>
      <c r="L11" s="107"/>
      <c r="M11" s="107"/>
      <c r="N11" s="107"/>
      <c r="O11" s="107"/>
      <c r="P11" s="108"/>
      <c r="Q11" s="104">
        <f t="shared" si="0"/>
        <v>0</v>
      </c>
      <c r="R11" s="12">
        <f t="shared" si="1"/>
        <v>0</v>
      </c>
      <c r="S11" s="105" t="b">
        <f>IF($E11="Hauteur ",IF($D11="BeF",VLOOKUP($Q11,BeF_Concours!B$3:J$52,9,TRUE),FALSE))</f>
        <v>0</v>
      </c>
      <c r="T11" s="4" t="b">
        <f>IF($E11="Perche ",IF($D11="BeF",VLOOKUP($Q11,BeF_Concours!C$3:J$52,8,TRUE),FALSE))</f>
        <v>0</v>
      </c>
      <c r="U11" s="4" t="b">
        <f>IF($E11="Hauteur ",IF($D11="BeM",VLOOKUP($Q11,BeM_Concours!B$3:J$52,9,TRUE),FALSE))</f>
        <v>0</v>
      </c>
      <c r="V11" s="4" t="b">
        <f>IF($E11="Perche ",IF($D11="BeM",VLOOKUP($Q11,BeM_Concours!C$3:J$52,8,TRUE),FALSE))</f>
        <v>0</v>
      </c>
      <c r="W11" s="4" t="b">
        <f>IF($E11="Hauteur ",IF($D11="MiF",VLOOKUP($Q11,MiF_Concours!B$3:J$52,9,TRUE),FALSE))</f>
        <v>0</v>
      </c>
      <c r="X11" s="4" t="b">
        <f>IF($E11="Perche ",IF($D11="MiF",VLOOKUP($Q11,MiF_Concours!C$3:J$52,8,TRUE),FALSE))</f>
        <v>0</v>
      </c>
      <c r="Y11" s="4" t="b">
        <f>IF($E11="Hauteur ",IF($D11="MiM",VLOOKUP($Q11,MiM_Concours!B$3:J$52,9,TRUE),FALSE))</f>
        <v>0</v>
      </c>
      <c r="Z11" s="4" t="b">
        <f>IF($E11="Perche ",IF($D11="MiM",VLOOKUP($Q11,MiM_Concours!C$3:J$52,8,TRUE),FALSE))</f>
        <v>0</v>
      </c>
      <c r="AA11" s="11"/>
    </row>
    <row r="12" spans="1:27" ht="15.75" thickBot="1">
      <c r="A12" s="60"/>
      <c r="B12" s="46"/>
      <c r="C12" s="70"/>
      <c r="D12" s="36" t="s">
        <v>54</v>
      </c>
      <c r="E12" s="37"/>
      <c r="F12" s="164"/>
      <c r="G12" s="106"/>
      <c r="H12" s="107"/>
      <c r="I12" s="107"/>
      <c r="J12" s="107"/>
      <c r="K12" s="107"/>
      <c r="L12" s="107"/>
      <c r="M12" s="107"/>
      <c r="N12" s="107"/>
      <c r="O12" s="107"/>
      <c r="P12" s="108"/>
      <c r="Q12" s="104">
        <f t="shared" si="0"/>
        <v>0</v>
      </c>
      <c r="R12" s="12">
        <f t="shared" si="1"/>
        <v>0</v>
      </c>
      <c r="S12" s="105" t="b">
        <f>IF($E12="Hauteur ",IF($D12="BeF",VLOOKUP($Q12,BeF_Concours!B$3:J$52,9,TRUE),FALSE))</f>
        <v>0</v>
      </c>
      <c r="T12" s="4" t="b">
        <f>IF($E12="Perche ",IF($D12="BeF",VLOOKUP($Q12,BeF_Concours!C$3:J$52,8,TRUE),FALSE))</f>
        <v>0</v>
      </c>
      <c r="U12" s="4" t="b">
        <f>IF($E12="Hauteur ",IF($D12="BeM",VLOOKUP($Q12,BeM_Concours!B$3:J$52,9,TRUE),FALSE))</f>
        <v>0</v>
      </c>
      <c r="V12" s="4" t="b">
        <f>IF($E12="Perche ",IF($D12="BeM",VLOOKUP($Q12,BeM_Concours!C$3:J$52,8,TRUE),FALSE))</f>
        <v>0</v>
      </c>
      <c r="W12" s="4" t="b">
        <f>IF($E12="Hauteur ",IF($D12="MiF",VLOOKUP($Q12,MiF_Concours!B$3:J$52,9,TRUE),FALSE))</f>
        <v>0</v>
      </c>
      <c r="X12" s="4" t="b">
        <f>IF($E12="Perche ",IF($D12="MiF",VLOOKUP($Q12,MiF_Concours!C$3:J$52,8,TRUE),FALSE))</f>
        <v>0</v>
      </c>
      <c r="Y12" s="4" t="b">
        <f>IF($E12="Hauteur ",IF($D12="MiM",VLOOKUP($Q12,MiM_Concours!B$3:J$52,9,TRUE),FALSE))</f>
        <v>0</v>
      </c>
      <c r="Z12" s="4" t="b">
        <f>IF($E12="Perche ",IF($D12="MiM",VLOOKUP($Q12,MiM_Concours!C$3:J$52,8,TRUE),FALSE))</f>
        <v>0</v>
      </c>
      <c r="AA12" s="11"/>
    </row>
    <row r="13" spans="1:27" ht="15">
      <c r="A13" s="60"/>
      <c r="B13" s="46"/>
      <c r="C13" s="70"/>
      <c r="D13" s="36" t="s">
        <v>54</v>
      </c>
      <c r="E13" s="37"/>
      <c r="F13" s="163" t="s">
        <v>210</v>
      </c>
      <c r="G13" s="101"/>
      <c r="H13" s="102"/>
      <c r="I13" s="102"/>
      <c r="J13" s="102"/>
      <c r="K13" s="102"/>
      <c r="L13" s="102"/>
      <c r="M13" s="102"/>
      <c r="N13" s="102"/>
      <c r="O13" s="102"/>
      <c r="P13" s="103"/>
      <c r="Q13" s="104">
        <f t="shared" si="0"/>
        <v>0</v>
      </c>
      <c r="R13" s="12">
        <f t="shared" si="1"/>
        <v>0</v>
      </c>
      <c r="S13" s="105" t="b">
        <f>IF($E13="Hauteur ",IF($D13="BeF",VLOOKUP($Q13,BeF_Concours!B$3:J$52,9,TRUE),FALSE))</f>
        <v>0</v>
      </c>
      <c r="T13" s="4" t="b">
        <f>IF($E13="Perche ",IF($D13="BeF",VLOOKUP($Q13,BeF_Concours!C$3:J$52,8,TRUE),FALSE))</f>
        <v>0</v>
      </c>
      <c r="U13" s="4" t="b">
        <f>IF($E13="Hauteur ",IF($D13="BeM",VLOOKUP($Q13,BeM_Concours!B$3:J$52,9,TRUE),FALSE))</f>
        <v>0</v>
      </c>
      <c r="V13" s="4" t="b">
        <f>IF($E13="Perche ",IF($D13="BeM",VLOOKUP($Q13,BeM_Concours!C$3:J$52,8,TRUE),FALSE))</f>
        <v>0</v>
      </c>
      <c r="W13" s="4" t="b">
        <f>IF($E13="Hauteur ",IF($D13="MiF",VLOOKUP($Q13,MiF_Concours!B$3:J$52,9,TRUE),FALSE))</f>
        <v>0</v>
      </c>
      <c r="X13" s="4" t="b">
        <f>IF($E13="Perche ",IF($D13="MiF",VLOOKUP($Q13,MiF_Concours!C$3:J$52,8,TRUE),FALSE))</f>
        <v>0</v>
      </c>
      <c r="Y13" s="4" t="b">
        <f>IF($E13="Hauteur ",IF($D13="MiM",VLOOKUP($Q13,MiM_Concours!B$3:J$52,9,TRUE),FALSE))</f>
        <v>0</v>
      </c>
      <c r="Z13" s="4" t="b">
        <f>IF($E13="Perche ",IF($D13="MiM",VLOOKUP($Q13,MiM_Concours!C$3:J$52,8,TRUE),FALSE))</f>
        <v>0</v>
      </c>
      <c r="AA13" s="11"/>
    </row>
    <row r="14" spans="1:27" ht="15">
      <c r="A14" s="60"/>
      <c r="B14" s="46"/>
      <c r="C14" s="70"/>
      <c r="D14" s="36" t="s">
        <v>54</v>
      </c>
      <c r="E14" s="37"/>
      <c r="F14" s="164" t="s">
        <v>211</v>
      </c>
      <c r="G14" s="106"/>
      <c r="H14" s="107"/>
      <c r="I14" s="107"/>
      <c r="J14" s="107"/>
      <c r="K14" s="107"/>
      <c r="L14" s="107"/>
      <c r="M14" s="107"/>
      <c r="N14" s="107"/>
      <c r="O14" s="107"/>
      <c r="P14" s="108"/>
      <c r="Q14" s="104">
        <f t="shared" si="0"/>
        <v>0</v>
      </c>
      <c r="R14" s="12">
        <f t="shared" si="1"/>
        <v>0</v>
      </c>
      <c r="S14" s="105" t="b">
        <f>IF($E14="Hauteur ",IF($D14="BeF",VLOOKUP($Q14,BeF_Concours!B$3:J$52,9,TRUE),FALSE))</f>
        <v>0</v>
      </c>
      <c r="T14" s="4" t="b">
        <f>IF($E14="Perche ",IF($D14="BeF",VLOOKUP($Q14,BeF_Concours!C$3:J$52,8,TRUE),FALSE))</f>
        <v>0</v>
      </c>
      <c r="U14" s="4" t="b">
        <f>IF($E14="Hauteur ",IF($D14="BeM",VLOOKUP($Q14,BeM_Concours!B$3:J$52,9,TRUE),FALSE))</f>
        <v>0</v>
      </c>
      <c r="V14" s="4" t="b">
        <f>IF($E14="Perche ",IF($D14="BeM",VLOOKUP($Q14,BeM_Concours!C$3:J$52,8,TRUE),FALSE))</f>
        <v>0</v>
      </c>
      <c r="W14" s="4" t="b">
        <f>IF($E14="Hauteur ",IF($D14="MiF",VLOOKUP($Q14,MiF_Concours!B$3:J$52,9,TRUE),FALSE))</f>
        <v>0</v>
      </c>
      <c r="X14" s="4" t="b">
        <f>IF($E14="Perche ",IF($D14="MiF",VLOOKUP($Q14,MiF_Concours!C$3:J$52,8,TRUE),FALSE))</f>
        <v>0</v>
      </c>
      <c r="Y14" s="4" t="b">
        <f>IF($E14="Hauteur ",IF($D14="MiM",VLOOKUP($Q14,MiM_Concours!B$3:J$52,9,TRUE),FALSE))</f>
        <v>0</v>
      </c>
      <c r="Z14" s="4" t="b">
        <f>IF($E14="Perche ",IF($D14="MiM",VLOOKUP($Q14,MiM_Concours!C$3:J$52,8,TRUE),FALSE))</f>
        <v>0</v>
      </c>
      <c r="AA14" s="11"/>
    </row>
    <row r="15" spans="1:27" ht="15">
      <c r="A15" s="60"/>
      <c r="B15" s="46"/>
      <c r="C15" s="70"/>
      <c r="D15" s="36" t="s">
        <v>54</v>
      </c>
      <c r="E15" s="37"/>
      <c r="F15" s="164" t="s">
        <v>212</v>
      </c>
      <c r="G15" s="106"/>
      <c r="H15" s="107"/>
      <c r="I15" s="107"/>
      <c r="J15" s="107"/>
      <c r="K15" s="107"/>
      <c r="L15" s="107"/>
      <c r="M15" s="107"/>
      <c r="N15" s="107"/>
      <c r="O15" s="107"/>
      <c r="P15" s="108"/>
      <c r="Q15" s="104">
        <f t="shared" si="0"/>
        <v>0</v>
      </c>
      <c r="R15" s="12">
        <f t="shared" si="1"/>
        <v>0</v>
      </c>
      <c r="S15" s="105" t="b">
        <f>IF($E15="Hauteur ",IF($D15="BeF",VLOOKUP($Q15,BeF_Concours!B$3:J$52,9,TRUE),FALSE))</f>
        <v>0</v>
      </c>
      <c r="T15" s="4" t="b">
        <f>IF($E15="Perche ",IF($D15="BeF",VLOOKUP($Q15,BeF_Concours!C$3:J$52,8,TRUE),FALSE))</f>
        <v>0</v>
      </c>
      <c r="U15" s="4" t="b">
        <f>IF($E15="Hauteur ",IF($D15="BeM",VLOOKUP($Q15,BeM_Concours!B$3:J$52,9,TRUE),FALSE))</f>
        <v>0</v>
      </c>
      <c r="V15" s="4" t="b">
        <f>IF($E15="Perche ",IF($D15="BeM",VLOOKUP($Q15,BeM_Concours!C$3:J$52,8,TRUE),FALSE))</f>
        <v>0</v>
      </c>
      <c r="W15" s="4" t="b">
        <f>IF($E15="Hauteur ",IF($D15="MiF",VLOOKUP($Q15,MiF_Concours!B$3:J$52,9,TRUE),FALSE))</f>
        <v>0</v>
      </c>
      <c r="X15" s="4" t="b">
        <f>IF($E15="Perche ",IF($D15="MiF",VLOOKUP($Q15,MiF_Concours!C$3:J$52,8,TRUE),FALSE))</f>
        <v>0</v>
      </c>
      <c r="Y15" s="4" t="b">
        <f>IF($E15="Hauteur ",IF($D15="MiM",VLOOKUP($Q15,MiM_Concours!B$3:J$52,9,TRUE),FALSE))</f>
        <v>0</v>
      </c>
      <c r="Z15" s="4" t="b">
        <f>IF($E15="Perche ",IF($D15="MiM",VLOOKUP($Q15,MiM_Concours!C$3:J$52,8,TRUE),FALSE))</f>
        <v>0</v>
      </c>
      <c r="AA15" s="11"/>
    </row>
    <row r="16" spans="1:27" ht="15">
      <c r="A16" s="60"/>
      <c r="B16" s="46"/>
      <c r="C16" s="70"/>
      <c r="D16" s="36" t="s">
        <v>54</v>
      </c>
      <c r="E16" s="37"/>
      <c r="F16" s="164" t="s">
        <v>213</v>
      </c>
      <c r="G16" s="106"/>
      <c r="H16" s="107"/>
      <c r="I16" s="107"/>
      <c r="J16" s="107"/>
      <c r="K16" s="107"/>
      <c r="L16" s="107"/>
      <c r="M16" s="107"/>
      <c r="N16" s="107"/>
      <c r="O16" s="107"/>
      <c r="P16" s="108"/>
      <c r="Q16" s="104">
        <f t="shared" si="0"/>
        <v>0</v>
      </c>
      <c r="R16" s="12">
        <f t="shared" si="1"/>
        <v>0</v>
      </c>
      <c r="S16" s="105" t="b">
        <f>IF($E16="Hauteur ",IF($D16="BeF",VLOOKUP($Q16,BeF_Concours!B$3:J$52,9,TRUE),FALSE))</f>
        <v>0</v>
      </c>
      <c r="T16" s="4" t="b">
        <f>IF($E16="Perche ",IF($D16="BeF",VLOOKUP($Q16,BeF_Concours!C$3:J$52,8,TRUE),FALSE))</f>
        <v>0</v>
      </c>
      <c r="U16" s="4" t="b">
        <f>IF($E16="Hauteur ",IF($D16="BeM",VLOOKUP($Q16,BeM_Concours!B$3:J$52,9,TRUE),FALSE))</f>
        <v>0</v>
      </c>
      <c r="V16" s="4" t="b">
        <f>IF($E16="Perche ",IF($D16="BeM",VLOOKUP($Q16,BeM_Concours!C$3:J$52,8,TRUE),FALSE))</f>
        <v>0</v>
      </c>
      <c r="W16" s="4" t="b">
        <f>IF($E16="Hauteur ",IF($D16="MiF",VLOOKUP($Q16,MiF_Concours!B$3:J$52,9,TRUE),FALSE))</f>
        <v>0</v>
      </c>
      <c r="X16" s="4" t="b">
        <f>IF($E16="Perche ",IF($D16="MiF",VLOOKUP($Q16,MiF_Concours!C$3:J$52,8,TRUE),FALSE))</f>
        <v>0</v>
      </c>
      <c r="Y16" s="4" t="b">
        <f>IF($E16="Hauteur ",IF($D16="MiM",VLOOKUP($Q16,MiM_Concours!B$3:J$52,9,TRUE),FALSE))</f>
        <v>0</v>
      </c>
      <c r="Z16" s="4" t="b">
        <f>IF($E16="Perche ",IF($D16="MiM",VLOOKUP($Q16,MiM_Concours!C$3:J$52,8,TRUE),FALSE))</f>
        <v>0</v>
      </c>
      <c r="AA16" s="11"/>
    </row>
    <row r="17" spans="1:27" ht="15">
      <c r="A17" s="60"/>
      <c r="B17" s="46"/>
      <c r="C17" s="70"/>
      <c r="D17" s="36" t="s">
        <v>54</v>
      </c>
      <c r="E17" s="37"/>
      <c r="F17" s="164" t="s">
        <v>214</v>
      </c>
      <c r="G17" s="106"/>
      <c r="H17" s="107"/>
      <c r="I17" s="107"/>
      <c r="J17" s="107"/>
      <c r="K17" s="107"/>
      <c r="L17" s="107"/>
      <c r="M17" s="107"/>
      <c r="N17" s="107"/>
      <c r="O17" s="107"/>
      <c r="P17" s="108"/>
      <c r="Q17" s="104">
        <f t="shared" si="0"/>
        <v>0</v>
      </c>
      <c r="R17" s="12">
        <f t="shared" si="1"/>
        <v>0</v>
      </c>
      <c r="S17" s="105" t="b">
        <f>IF($E17="Hauteur ",IF($D17="BeF",VLOOKUP($Q17,BeF_Concours!B$3:J$52,9,TRUE),FALSE))</f>
        <v>0</v>
      </c>
      <c r="T17" s="4" t="b">
        <f>IF($E17="Perche ",IF($D17="BeF",VLOOKUP($Q17,BeF_Concours!C$3:J$52,8,TRUE),FALSE))</f>
        <v>0</v>
      </c>
      <c r="U17" s="4" t="b">
        <f>IF($E17="Hauteur ",IF($D17="BeM",VLOOKUP($Q17,BeM_Concours!B$3:J$52,9,TRUE),FALSE))</f>
        <v>0</v>
      </c>
      <c r="V17" s="4" t="b">
        <f>IF($E17="Perche ",IF($D17="BeM",VLOOKUP($Q17,BeM_Concours!C$3:J$52,8,TRUE),FALSE))</f>
        <v>0</v>
      </c>
      <c r="W17" s="4" t="b">
        <f>IF($E17="Hauteur ",IF($D17="MiF",VLOOKUP($Q17,MiF_Concours!B$3:J$52,9,TRUE),FALSE))</f>
        <v>0</v>
      </c>
      <c r="X17" s="4" t="b">
        <f>IF($E17="Perche ",IF($D17="MiF",VLOOKUP($Q17,MiF_Concours!C$3:J$52,8,TRUE),FALSE))</f>
        <v>0</v>
      </c>
      <c r="Y17" s="4" t="b">
        <f>IF($E17="Hauteur ",IF($D17="MiM",VLOOKUP($Q17,MiM_Concours!B$3:J$52,9,TRUE),FALSE))</f>
        <v>0</v>
      </c>
      <c r="Z17" s="4" t="b">
        <f>IF($E17="Perche ",IF($D17="MiM",VLOOKUP($Q17,MiM_Concours!C$3:J$52,8,TRUE),FALSE))</f>
        <v>0</v>
      </c>
      <c r="AA17" s="11"/>
    </row>
    <row r="18" spans="1:27" ht="15.75" thickBot="1">
      <c r="A18" s="60"/>
      <c r="B18" s="46"/>
      <c r="C18" s="70"/>
      <c r="D18" s="36" t="s">
        <v>54</v>
      </c>
      <c r="E18" s="37"/>
      <c r="F18" s="165"/>
      <c r="G18" s="109"/>
      <c r="H18" s="110"/>
      <c r="I18" s="110"/>
      <c r="J18" s="110"/>
      <c r="K18" s="110"/>
      <c r="L18" s="110"/>
      <c r="M18" s="110"/>
      <c r="N18" s="110"/>
      <c r="O18" s="110"/>
      <c r="P18" s="111"/>
      <c r="Q18" s="104">
        <f t="shared" si="0"/>
        <v>0</v>
      </c>
      <c r="R18" s="12">
        <f t="shared" si="1"/>
        <v>0</v>
      </c>
      <c r="S18" s="105" t="b">
        <f>IF($E18="Hauteur ",IF($D18="BeF",VLOOKUP($Q18,BeF_Concours!B$3:J$52,9,TRUE),FALSE))</f>
        <v>0</v>
      </c>
      <c r="T18" s="4" t="b">
        <f>IF($E18="Perche ",IF($D18="BeF",VLOOKUP($Q18,BeF_Concours!C$3:J$52,8,TRUE),FALSE))</f>
        <v>0</v>
      </c>
      <c r="U18" s="4" t="b">
        <f>IF($E18="Hauteur ",IF($D18="BeM",VLOOKUP($Q18,BeM_Concours!B$3:J$52,9,TRUE),FALSE))</f>
        <v>0</v>
      </c>
      <c r="V18" s="4" t="b">
        <f>IF($E18="Perche ",IF($D18="BeM",VLOOKUP($Q18,BeM_Concours!C$3:J$52,8,TRUE),FALSE))</f>
        <v>0</v>
      </c>
      <c r="W18" s="4" t="b">
        <f>IF($E18="Hauteur ",IF($D18="MiF",VLOOKUP($Q18,MiF_Concours!B$3:J$52,9,TRUE),FALSE))</f>
        <v>0</v>
      </c>
      <c r="X18" s="4" t="b">
        <f>IF($E18="Perche ",IF($D18="MiF",VLOOKUP($Q18,MiF_Concours!C$3:J$52,8,TRUE),FALSE))</f>
        <v>0</v>
      </c>
      <c r="Y18" s="4" t="b">
        <f>IF($E18="Hauteur ",IF($D18="MiM",VLOOKUP($Q18,MiM_Concours!B$3:J$52,9,TRUE),FALSE))</f>
        <v>0</v>
      </c>
      <c r="Z18" s="4" t="b">
        <f>IF($E18="Perche ",IF($D18="MiM",VLOOKUP($Q18,MiM_Concours!C$3:J$52,8,TRUE),FALSE))</f>
        <v>0</v>
      </c>
      <c r="AA18" s="11"/>
    </row>
    <row r="19" spans="1:27" ht="15">
      <c r="A19" s="60"/>
      <c r="B19" s="46"/>
      <c r="C19" s="70"/>
      <c r="D19" s="36" t="s">
        <v>54</v>
      </c>
      <c r="E19" s="37"/>
      <c r="F19" s="163" t="s">
        <v>210</v>
      </c>
      <c r="G19" s="101"/>
      <c r="H19" s="102"/>
      <c r="I19" s="102"/>
      <c r="J19" s="102"/>
      <c r="K19" s="102"/>
      <c r="L19" s="102"/>
      <c r="M19" s="102"/>
      <c r="N19" s="102"/>
      <c r="O19" s="102"/>
      <c r="P19" s="103"/>
      <c r="Q19" s="104">
        <f t="shared" si="0"/>
        <v>0</v>
      </c>
      <c r="R19" s="12">
        <f t="shared" si="1"/>
        <v>0</v>
      </c>
      <c r="S19" s="105" t="b">
        <f>IF($E19="Hauteur ",IF($D19="BeF",VLOOKUP($Q19,BeF_Concours!B$3:J$52,9,TRUE),FALSE))</f>
        <v>0</v>
      </c>
      <c r="T19" s="4" t="b">
        <f>IF($E19="Perche ",IF($D19="BeF",VLOOKUP($Q19,BeF_Concours!C$3:J$52,8,TRUE),FALSE))</f>
        <v>0</v>
      </c>
      <c r="U19" s="4" t="b">
        <f>IF($E19="Hauteur ",IF($D19="BeM",VLOOKUP($Q19,BeM_Concours!B$3:J$52,9,TRUE),FALSE))</f>
        <v>0</v>
      </c>
      <c r="V19" s="4" t="b">
        <f>IF($E19="Perche ",IF($D19="BeM",VLOOKUP($Q19,BeM_Concours!C$3:J$52,8,TRUE),FALSE))</f>
        <v>0</v>
      </c>
      <c r="W19" s="4" t="b">
        <f>IF($E19="Hauteur ",IF($D19="MiF",VLOOKUP($Q19,MiF_Concours!B$3:J$52,9,TRUE),FALSE))</f>
        <v>0</v>
      </c>
      <c r="X19" s="4" t="b">
        <f>IF($E19="Perche ",IF($D19="MiF",VLOOKUP($Q19,MiF_Concours!C$3:J$52,8,TRUE),FALSE))</f>
        <v>0</v>
      </c>
      <c r="Y19" s="4" t="b">
        <f>IF($E19="Hauteur ",IF($D19="MiM",VLOOKUP($Q19,MiM_Concours!B$3:J$52,9,TRUE),FALSE))</f>
        <v>0</v>
      </c>
      <c r="Z19" s="4" t="b">
        <f>IF($E19="Perche ",IF($D19="MiM",VLOOKUP($Q19,MiM_Concours!C$3:J$52,8,TRUE),FALSE))</f>
        <v>0</v>
      </c>
      <c r="AA19" s="11"/>
    </row>
    <row r="20" spans="1:27" ht="15">
      <c r="A20" s="60"/>
      <c r="B20" s="46"/>
      <c r="C20" s="70"/>
      <c r="D20" s="36" t="s">
        <v>54</v>
      </c>
      <c r="E20" s="37"/>
      <c r="F20" s="164" t="s">
        <v>211</v>
      </c>
      <c r="G20" s="106"/>
      <c r="H20" s="107"/>
      <c r="I20" s="107"/>
      <c r="J20" s="107"/>
      <c r="K20" s="107"/>
      <c r="L20" s="107"/>
      <c r="M20" s="107"/>
      <c r="N20" s="107"/>
      <c r="O20" s="107"/>
      <c r="P20" s="108"/>
      <c r="Q20" s="104">
        <f t="shared" si="0"/>
        <v>0</v>
      </c>
      <c r="R20" s="12">
        <f t="shared" si="1"/>
        <v>0</v>
      </c>
      <c r="S20" s="105" t="b">
        <f>IF($E20="Hauteur ",IF($D20="BeF",VLOOKUP($Q20,BeF_Concours!B$3:J$52,9,TRUE),FALSE))</f>
        <v>0</v>
      </c>
      <c r="T20" s="4" t="b">
        <f>IF($E20="Perche ",IF($D20="BeF",VLOOKUP($Q20,BeF_Concours!C$3:J$52,8,TRUE),FALSE))</f>
        <v>0</v>
      </c>
      <c r="U20" s="4" t="b">
        <f>IF($E20="Hauteur ",IF($D20="BeM",VLOOKUP($Q20,BeM_Concours!B$3:J$52,9,TRUE),FALSE))</f>
        <v>0</v>
      </c>
      <c r="V20" s="4" t="b">
        <f>IF($E20="Perche ",IF($D20="BeM",VLOOKUP($Q20,BeM_Concours!C$3:J$52,8,TRUE),FALSE))</f>
        <v>0</v>
      </c>
      <c r="W20" s="4" t="b">
        <f>IF($E20="Hauteur ",IF($D20="MiF",VLOOKUP($Q20,MiF_Concours!B$3:J$52,9,TRUE),FALSE))</f>
        <v>0</v>
      </c>
      <c r="X20" s="4" t="b">
        <f>IF($E20="Perche ",IF($D20="MiF",VLOOKUP($Q20,MiF_Concours!C$3:J$52,8,TRUE),FALSE))</f>
        <v>0</v>
      </c>
      <c r="Y20" s="4" t="b">
        <f>IF($E20="Hauteur ",IF($D20="MiM",VLOOKUP($Q20,MiM_Concours!B$3:J$52,9,TRUE),FALSE))</f>
        <v>0</v>
      </c>
      <c r="Z20" s="4" t="b">
        <f>IF($E20="Perche ",IF($D20="MiM",VLOOKUP($Q20,MiM_Concours!C$3:J$52,8,TRUE),FALSE))</f>
        <v>0</v>
      </c>
      <c r="AA20" s="11"/>
    </row>
    <row r="21" spans="1:27" ht="15">
      <c r="A21" s="60"/>
      <c r="B21" s="46"/>
      <c r="C21" s="70"/>
      <c r="D21" s="36" t="s">
        <v>54</v>
      </c>
      <c r="E21" s="37"/>
      <c r="F21" s="164" t="s">
        <v>212</v>
      </c>
      <c r="G21" s="106"/>
      <c r="H21" s="107"/>
      <c r="I21" s="107"/>
      <c r="J21" s="107"/>
      <c r="K21" s="107"/>
      <c r="L21" s="107"/>
      <c r="M21" s="107"/>
      <c r="N21" s="107"/>
      <c r="O21" s="107"/>
      <c r="P21" s="108"/>
      <c r="Q21" s="104">
        <f t="shared" si="0"/>
        <v>0</v>
      </c>
      <c r="R21" s="12">
        <f t="shared" si="1"/>
        <v>0</v>
      </c>
      <c r="S21" s="105" t="b">
        <f>IF($E21="Hauteur ",IF($D21="BeF",VLOOKUP($Q21,BeF_Concours!B$3:J$52,9,TRUE),FALSE))</f>
        <v>0</v>
      </c>
      <c r="T21" s="4" t="b">
        <f>IF($E21="Perche ",IF($D21="BeF",VLOOKUP($Q21,BeF_Concours!C$3:J$52,8,TRUE),FALSE))</f>
        <v>0</v>
      </c>
      <c r="U21" s="4" t="b">
        <f>IF($E21="Hauteur ",IF($D21="BeM",VLOOKUP($Q21,BeM_Concours!B$3:J$52,9,TRUE),FALSE))</f>
        <v>0</v>
      </c>
      <c r="V21" s="4" t="b">
        <f>IF($E21="Perche ",IF($D21="BeM",VLOOKUP($Q21,BeM_Concours!C$3:J$52,8,TRUE),FALSE))</f>
        <v>0</v>
      </c>
      <c r="W21" s="4" t="b">
        <f>IF($E21="Hauteur ",IF($D21="MiF",VLOOKUP($Q21,MiF_Concours!B$3:J$52,9,TRUE),FALSE))</f>
        <v>0</v>
      </c>
      <c r="X21" s="4" t="b">
        <f>IF($E21="Perche ",IF($D21="MiF",VLOOKUP($Q21,MiF_Concours!C$3:J$52,8,TRUE),FALSE))</f>
        <v>0</v>
      </c>
      <c r="Y21" s="4" t="b">
        <f>IF($E21="Hauteur ",IF($D21="MiM",VLOOKUP($Q21,MiM_Concours!B$3:J$52,9,TRUE),FALSE))</f>
        <v>0</v>
      </c>
      <c r="Z21" s="4" t="b">
        <f>IF($E21="Perche ",IF($D21="MiM",VLOOKUP($Q21,MiM_Concours!C$3:J$52,8,TRUE),FALSE))</f>
        <v>0</v>
      </c>
      <c r="AA21" s="11"/>
    </row>
    <row r="22" spans="1:27" ht="15">
      <c r="A22" s="60"/>
      <c r="B22" s="46"/>
      <c r="C22" s="70"/>
      <c r="D22" s="36" t="s">
        <v>54</v>
      </c>
      <c r="E22" s="37"/>
      <c r="F22" s="164" t="s">
        <v>213</v>
      </c>
      <c r="G22" s="106"/>
      <c r="H22" s="107"/>
      <c r="I22" s="107"/>
      <c r="J22" s="107"/>
      <c r="K22" s="107"/>
      <c r="L22" s="107"/>
      <c r="M22" s="107"/>
      <c r="N22" s="107"/>
      <c r="O22" s="107"/>
      <c r="P22" s="108"/>
      <c r="Q22" s="104">
        <f t="shared" si="0"/>
        <v>0</v>
      </c>
      <c r="R22" s="12">
        <f t="shared" si="1"/>
        <v>0</v>
      </c>
      <c r="S22" s="105" t="b">
        <f>IF($E22="Hauteur ",IF($D22="BeF",VLOOKUP($Q22,BeF_Concours!B$3:J$52,9,TRUE),FALSE))</f>
        <v>0</v>
      </c>
      <c r="T22" s="4" t="b">
        <f>IF($E22="Perche ",IF($D22="BeF",VLOOKUP($Q22,BeF_Concours!C$3:J$52,8,TRUE),FALSE))</f>
        <v>0</v>
      </c>
      <c r="U22" s="4" t="b">
        <f>IF($E22="Hauteur ",IF($D22="BeM",VLOOKUP($Q22,BeM_Concours!B$3:J$52,9,TRUE),FALSE))</f>
        <v>0</v>
      </c>
      <c r="V22" s="4" t="b">
        <f>IF($E22="Perche ",IF($D22="BeM",VLOOKUP($Q22,BeM_Concours!C$3:J$52,8,TRUE),FALSE))</f>
        <v>0</v>
      </c>
      <c r="W22" s="4" t="b">
        <f>IF($E22="Hauteur ",IF($D22="MiF",VLOOKUP($Q22,MiF_Concours!B$3:J$52,9,TRUE),FALSE))</f>
        <v>0</v>
      </c>
      <c r="X22" s="4" t="b">
        <f>IF($E22="Perche ",IF($D22="MiF",VLOOKUP($Q22,MiF_Concours!C$3:J$52,8,TRUE),FALSE))</f>
        <v>0</v>
      </c>
      <c r="Y22" s="4" t="b">
        <f>IF($E22="Hauteur ",IF($D22="MiM",VLOOKUP($Q22,MiM_Concours!B$3:J$52,9,TRUE),FALSE))</f>
        <v>0</v>
      </c>
      <c r="Z22" s="4" t="b">
        <f>IF($E22="Perche ",IF($D22="MiM",VLOOKUP($Q22,MiM_Concours!C$3:J$52,8,TRUE),FALSE))</f>
        <v>0</v>
      </c>
      <c r="AA22" s="11"/>
    </row>
    <row r="23" spans="1:27" ht="15">
      <c r="A23" s="60"/>
      <c r="B23" s="46"/>
      <c r="C23" s="70"/>
      <c r="D23" s="36" t="s">
        <v>54</v>
      </c>
      <c r="E23" s="37"/>
      <c r="F23" s="164" t="s">
        <v>214</v>
      </c>
      <c r="G23" s="106"/>
      <c r="H23" s="107"/>
      <c r="I23" s="107"/>
      <c r="J23" s="107"/>
      <c r="K23" s="107"/>
      <c r="L23" s="107"/>
      <c r="M23" s="107"/>
      <c r="N23" s="107"/>
      <c r="O23" s="107"/>
      <c r="P23" s="108"/>
      <c r="Q23" s="104">
        <f t="shared" si="0"/>
        <v>0</v>
      </c>
      <c r="R23" s="12">
        <f t="shared" si="1"/>
        <v>0</v>
      </c>
      <c r="S23" s="105" t="b">
        <f>IF($E23="Hauteur ",IF($D23="BeF",VLOOKUP($Q23,BeF_Concours!B$3:J$52,9,TRUE),FALSE))</f>
        <v>0</v>
      </c>
      <c r="T23" s="4" t="b">
        <f>IF($E23="Perche ",IF($D23="BeF",VLOOKUP($Q23,BeF_Concours!C$3:J$52,8,TRUE),FALSE))</f>
        <v>0</v>
      </c>
      <c r="U23" s="4" t="b">
        <f>IF($E23="Hauteur ",IF($D23="BeM",VLOOKUP($Q23,BeM_Concours!B$3:J$52,9,TRUE),FALSE))</f>
        <v>0</v>
      </c>
      <c r="V23" s="4" t="b">
        <f>IF($E23="Perche ",IF($D23="BeM",VLOOKUP($Q23,BeM_Concours!C$3:J$52,8,TRUE),FALSE))</f>
        <v>0</v>
      </c>
      <c r="W23" s="4" t="b">
        <f>IF($E23="Hauteur ",IF($D23="MiF",VLOOKUP($Q23,MiF_Concours!B$3:J$52,9,TRUE),FALSE))</f>
        <v>0</v>
      </c>
      <c r="X23" s="4" t="b">
        <f>IF($E23="Perche ",IF($D23="MiF",VLOOKUP($Q23,MiF_Concours!C$3:J$52,8,TRUE),FALSE))</f>
        <v>0</v>
      </c>
      <c r="Y23" s="4" t="b">
        <f>IF($E23="Hauteur ",IF($D23="MiM",VLOOKUP($Q23,MiM_Concours!B$3:J$52,9,TRUE),FALSE))</f>
        <v>0</v>
      </c>
      <c r="Z23" s="4" t="b">
        <f>IF($E23="Perche ",IF($D23="MiM",VLOOKUP($Q23,MiM_Concours!C$3:J$52,8,TRUE),FALSE))</f>
        <v>0</v>
      </c>
      <c r="AA23" s="11"/>
    </row>
    <row r="24" spans="1:27" ht="15.75" thickBot="1">
      <c r="A24" s="60"/>
      <c r="B24" s="46"/>
      <c r="C24" s="70"/>
      <c r="D24" s="36" t="s">
        <v>54</v>
      </c>
      <c r="E24" s="37"/>
      <c r="F24" s="165"/>
      <c r="G24" s="109"/>
      <c r="H24" s="110"/>
      <c r="I24" s="110"/>
      <c r="J24" s="110"/>
      <c r="K24" s="110"/>
      <c r="L24" s="110"/>
      <c r="M24" s="110"/>
      <c r="N24" s="110"/>
      <c r="O24" s="110"/>
      <c r="P24" s="111"/>
      <c r="Q24" s="104">
        <f t="shared" si="0"/>
        <v>0</v>
      </c>
      <c r="R24" s="12">
        <f t="shared" si="1"/>
        <v>0</v>
      </c>
      <c r="S24" s="105" t="b">
        <f>IF($E24="Hauteur ",IF($D24="BeF",VLOOKUP($Q24,BeF_Concours!B$3:J$52,9,TRUE),FALSE))</f>
        <v>0</v>
      </c>
      <c r="T24" s="4" t="b">
        <f>IF($E24="Perche ",IF($D24="BeF",VLOOKUP($Q24,BeF_Concours!C$3:J$52,8,TRUE),FALSE))</f>
        <v>0</v>
      </c>
      <c r="U24" s="4" t="b">
        <f>IF($E24="Hauteur ",IF($D24="BeM",VLOOKUP($Q24,BeM_Concours!B$3:J$52,9,TRUE),FALSE))</f>
        <v>0</v>
      </c>
      <c r="V24" s="4" t="b">
        <f>IF($E24="Perche ",IF($D24="BeM",VLOOKUP($Q24,BeM_Concours!C$3:J$52,8,TRUE),FALSE))</f>
        <v>0</v>
      </c>
      <c r="W24" s="4" t="b">
        <f>IF($E24="Hauteur ",IF($D24="MiF",VLOOKUP($Q24,MiF_Concours!B$3:J$52,9,TRUE),FALSE))</f>
        <v>0</v>
      </c>
      <c r="X24" s="4" t="b">
        <f>IF($E24="Perche ",IF($D24="MiF",VLOOKUP($Q24,MiF_Concours!C$3:J$52,8,TRUE),FALSE))</f>
        <v>0</v>
      </c>
      <c r="Y24" s="4" t="b">
        <f>IF($E24="Hauteur ",IF($D24="MiM",VLOOKUP($Q24,MiM_Concours!B$3:J$52,9,TRUE),FALSE))</f>
        <v>0</v>
      </c>
      <c r="Z24" s="4" t="b">
        <f>IF($E24="Perche ",IF($D24="MiM",VLOOKUP($Q24,MiM_Concours!C$3:J$52,8,TRUE),FALSE))</f>
        <v>0</v>
      </c>
      <c r="AA24" s="11"/>
    </row>
    <row r="25" spans="1:27" ht="15">
      <c r="A25" s="60"/>
      <c r="B25" s="46"/>
      <c r="C25" s="70"/>
      <c r="D25" s="36" t="s">
        <v>54</v>
      </c>
      <c r="E25" s="37"/>
      <c r="F25" s="163" t="s">
        <v>210</v>
      </c>
      <c r="G25" s="101"/>
      <c r="H25" s="102"/>
      <c r="I25" s="102"/>
      <c r="J25" s="102"/>
      <c r="K25" s="102"/>
      <c r="L25" s="102"/>
      <c r="M25" s="102"/>
      <c r="N25" s="102"/>
      <c r="O25" s="102"/>
      <c r="P25" s="103"/>
      <c r="Q25" s="104">
        <f t="shared" si="0"/>
        <v>0</v>
      </c>
      <c r="R25" s="12">
        <f t="shared" si="1"/>
        <v>0</v>
      </c>
      <c r="S25" s="105" t="b">
        <f>IF($E25="Hauteur ",IF($D25="BeF",VLOOKUP($Q25,BeF_Concours!B$3:J$52,9,TRUE),FALSE))</f>
        <v>0</v>
      </c>
      <c r="T25" s="4" t="b">
        <f>IF($E25="Perche ",IF($D25="BeF",VLOOKUP($Q25,BeF_Concours!C$3:J$52,8,TRUE),FALSE))</f>
        <v>0</v>
      </c>
      <c r="U25" s="4" t="b">
        <f>IF($E25="Hauteur ",IF($D25="BeM",VLOOKUP($Q25,BeM_Concours!B$3:J$52,9,TRUE),FALSE))</f>
        <v>0</v>
      </c>
      <c r="V25" s="4" t="b">
        <f>IF($E25="Perche ",IF($D25="BeM",VLOOKUP($Q25,BeM_Concours!C$3:J$52,8,TRUE),FALSE))</f>
        <v>0</v>
      </c>
      <c r="W25" s="4" t="b">
        <f>IF($E25="Hauteur ",IF($D25="MiF",VLOOKUP($Q25,MiF_Concours!B$3:J$52,9,TRUE),FALSE))</f>
        <v>0</v>
      </c>
      <c r="X25" s="4" t="b">
        <f>IF($E25="Perche ",IF($D25="MiF",VLOOKUP($Q25,MiF_Concours!C$3:J$52,8,TRUE),FALSE))</f>
        <v>0</v>
      </c>
      <c r="Y25" s="4" t="b">
        <f>IF($E25="Hauteur ",IF($D25="MiM",VLOOKUP($Q25,MiM_Concours!B$3:J$52,9,TRUE),FALSE))</f>
        <v>0</v>
      </c>
      <c r="Z25" s="4" t="b">
        <f>IF($E25="Perche ",IF($D25="MiM",VLOOKUP($Q25,MiM_Concours!C$3:J$52,8,TRUE),FALSE))</f>
        <v>0</v>
      </c>
      <c r="AA25" s="11"/>
    </row>
    <row r="26" spans="1:27" ht="15">
      <c r="A26" s="60"/>
      <c r="B26" s="46"/>
      <c r="C26" s="70"/>
      <c r="D26" s="36" t="s">
        <v>54</v>
      </c>
      <c r="E26" s="37"/>
      <c r="F26" s="164" t="s">
        <v>211</v>
      </c>
      <c r="G26" s="106"/>
      <c r="H26" s="107"/>
      <c r="I26" s="107"/>
      <c r="J26" s="107"/>
      <c r="K26" s="107"/>
      <c r="L26" s="107"/>
      <c r="M26" s="107"/>
      <c r="N26" s="107"/>
      <c r="O26" s="107"/>
      <c r="P26" s="108"/>
      <c r="Q26" s="104">
        <f t="shared" si="0"/>
        <v>0</v>
      </c>
      <c r="R26" s="12">
        <f t="shared" si="1"/>
        <v>0</v>
      </c>
      <c r="S26" s="105" t="b">
        <f>IF($E26="Hauteur ",IF($D26="BeF",VLOOKUP($Q26,BeF_Concours!B$3:J$52,9,TRUE),FALSE))</f>
        <v>0</v>
      </c>
      <c r="T26" s="4" t="b">
        <f>IF($E26="Perche ",IF($D26="BeF",VLOOKUP($Q26,BeF_Concours!C$3:J$52,8,TRUE),FALSE))</f>
        <v>0</v>
      </c>
      <c r="U26" s="4" t="b">
        <f>IF($E26="Hauteur ",IF($D26="BeM",VLOOKUP($Q26,BeM_Concours!B$3:J$52,9,TRUE),FALSE))</f>
        <v>0</v>
      </c>
      <c r="V26" s="4" t="b">
        <f>IF($E26="Perche ",IF($D26="BeM",VLOOKUP($Q26,BeM_Concours!C$3:J$52,8,TRUE),FALSE))</f>
        <v>0</v>
      </c>
      <c r="W26" s="4" t="b">
        <f>IF($E26="Hauteur ",IF($D26="MiF",VLOOKUP($Q26,MiF_Concours!B$3:J$52,9,TRUE),FALSE))</f>
        <v>0</v>
      </c>
      <c r="X26" s="4" t="b">
        <f>IF($E26="Perche ",IF($D26="MiF",VLOOKUP($Q26,MiF_Concours!C$3:J$52,8,TRUE),FALSE))</f>
        <v>0</v>
      </c>
      <c r="Y26" s="4" t="b">
        <f>IF($E26="Hauteur ",IF($D26="MiM",VLOOKUP($Q26,MiM_Concours!B$3:J$52,9,TRUE),FALSE))</f>
        <v>0</v>
      </c>
      <c r="Z26" s="4" t="b">
        <f>IF($E26="Perche ",IF($D26="MiM",VLOOKUP($Q26,MiM_Concours!C$3:J$52,8,TRUE),FALSE))</f>
        <v>0</v>
      </c>
      <c r="AA26" s="11"/>
    </row>
    <row r="27" spans="1:27" ht="15">
      <c r="A27" s="60"/>
      <c r="B27" s="46"/>
      <c r="C27" s="70"/>
      <c r="D27" s="36" t="s">
        <v>54</v>
      </c>
      <c r="E27" s="37"/>
      <c r="F27" s="164" t="s">
        <v>212</v>
      </c>
      <c r="G27" s="106"/>
      <c r="H27" s="107"/>
      <c r="I27" s="107"/>
      <c r="J27" s="107"/>
      <c r="K27" s="107"/>
      <c r="L27" s="107"/>
      <c r="M27" s="107"/>
      <c r="N27" s="107"/>
      <c r="O27" s="107"/>
      <c r="P27" s="108"/>
      <c r="Q27" s="104">
        <f t="shared" si="0"/>
        <v>0</v>
      </c>
      <c r="R27" s="12">
        <f t="shared" si="1"/>
        <v>0</v>
      </c>
      <c r="S27" s="105" t="b">
        <f>IF($E27="Hauteur ",IF($D27="BeF",VLOOKUP($Q27,BeF_Concours!B$3:J$52,9,TRUE),FALSE))</f>
        <v>0</v>
      </c>
      <c r="T27" s="4" t="b">
        <f>IF($E27="Perche ",IF($D27="BeF",VLOOKUP($Q27,BeF_Concours!C$3:J$52,8,TRUE),FALSE))</f>
        <v>0</v>
      </c>
      <c r="U27" s="4" t="b">
        <f>IF($E27="Hauteur ",IF($D27="BeM",VLOOKUP($Q27,BeM_Concours!B$3:J$52,9,TRUE),FALSE))</f>
        <v>0</v>
      </c>
      <c r="V27" s="4" t="b">
        <f>IF($E27="Perche ",IF($D27="BeM",VLOOKUP($Q27,BeM_Concours!C$3:J$52,8,TRUE),FALSE))</f>
        <v>0</v>
      </c>
      <c r="W27" s="4" t="b">
        <f>IF($E27="Hauteur ",IF($D27="MiF",VLOOKUP($Q27,MiF_Concours!B$3:J$52,9,TRUE),FALSE))</f>
        <v>0</v>
      </c>
      <c r="X27" s="4" t="b">
        <f>IF($E27="Perche ",IF($D27="MiF",VLOOKUP($Q27,MiF_Concours!C$3:J$52,8,TRUE),FALSE))</f>
        <v>0</v>
      </c>
      <c r="Y27" s="4" t="b">
        <f>IF($E27="Hauteur ",IF($D27="MiM",VLOOKUP($Q27,MiM_Concours!B$3:J$52,9,TRUE),FALSE))</f>
        <v>0</v>
      </c>
      <c r="Z27" s="4" t="b">
        <f>IF($E27="Perche ",IF($D27="MiM",VLOOKUP($Q27,MiM_Concours!C$3:J$52,8,TRUE),FALSE))</f>
        <v>0</v>
      </c>
      <c r="AA27" s="11"/>
    </row>
    <row r="28" spans="1:27" ht="15">
      <c r="A28" s="60"/>
      <c r="B28" s="46"/>
      <c r="C28" s="70"/>
      <c r="D28" s="36" t="s">
        <v>54</v>
      </c>
      <c r="E28" s="37"/>
      <c r="F28" s="164" t="s">
        <v>213</v>
      </c>
      <c r="G28" s="106"/>
      <c r="H28" s="107"/>
      <c r="I28" s="107"/>
      <c r="J28" s="107"/>
      <c r="K28" s="107"/>
      <c r="L28" s="107"/>
      <c r="M28" s="107"/>
      <c r="N28" s="107"/>
      <c r="O28" s="107"/>
      <c r="P28" s="108"/>
      <c r="Q28" s="104">
        <f t="shared" si="0"/>
        <v>0</v>
      </c>
      <c r="R28" s="12">
        <f t="shared" si="1"/>
        <v>0</v>
      </c>
      <c r="S28" s="105" t="b">
        <f>IF($E28="Hauteur ",IF($D28="BeF",VLOOKUP($Q28,BeF_Concours!B$3:J$52,9,TRUE),FALSE))</f>
        <v>0</v>
      </c>
      <c r="T28" s="4" t="b">
        <f>IF($E28="Perche ",IF($D28="BeF",VLOOKUP($Q28,BeF_Concours!C$3:J$52,8,TRUE),FALSE))</f>
        <v>0</v>
      </c>
      <c r="U28" s="4" t="b">
        <f>IF($E28="Hauteur ",IF($D28="BeM",VLOOKUP($Q28,BeM_Concours!B$3:J$52,9,TRUE),FALSE))</f>
        <v>0</v>
      </c>
      <c r="V28" s="4" t="b">
        <f>IF($E28="Perche ",IF($D28="BeM",VLOOKUP($Q28,BeM_Concours!C$3:J$52,8,TRUE),FALSE))</f>
        <v>0</v>
      </c>
      <c r="W28" s="4" t="b">
        <f>IF($E28="Hauteur ",IF($D28="MiF",VLOOKUP($Q28,MiF_Concours!B$3:J$52,9,TRUE),FALSE))</f>
        <v>0</v>
      </c>
      <c r="X28" s="4" t="b">
        <f>IF($E28="Perche ",IF($D28="MiF",VLOOKUP($Q28,MiF_Concours!C$3:J$52,8,TRUE),FALSE))</f>
        <v>0</v>
      </c>
      <c r="Y28" s="4" t="b">
        <f>IF($E28="Hauteur ",IF($D28="MiM",VLOOKUP($Q28,MiM_Concours!B$3:J$52,9,TRUE),FALSE))</f>
        <v>0</v>
      </c>
      <c r="Z28" s="4" t="b">
        <f>IF($E28="Perche ",IF($D28="MiM",VLOOKUP($Q28,MiM_Concours!C$3:J$52,8,TRUE),FALSE))</f>
        <v>0</v>
      </c>
      <c r="AA28" s="11"/>
    </row>
    <row r="29" spans="1:27" ht="15">
      <c r="A29" s="60"/>
      <c r="B29" s="46"/>
      <c r="C29" s="70"/>
      <c r="D29" s="36" t="s">
        <v>54</v>
      </c>
      <c r="E29" s="37"/>
      <c r="F29" s="164" t="s">
        <v>214</v>
      </c>
      <c r="G29" s="106"/>
      <c r="H29" s="107"/>
      <c r="I29" s="107"/>
      <c r="J29" s="107"/>
      <c r="K29" s="107"/>
      <c r="L29" s="107"/>
      <c r="M29" s="107"/>
      <c r="N29" s="107"/>
      <c r="O29" s="107"/>
      <c r="P29" s="108"/>
      <c r="Q29" s="104">
        <f t="shared" si="0"/>
        <v>0</v>
      </c>
      <c r="R29" s="12">
        <f t="shared" si="1"/>
        <v>0</v>
      </c>
      <c r="S29" s="105" t="b">
        <f>IF($E29="Hauteur ",IF($D29="BeF",VLOOKUP($Q29,BeF_Concours!B$3:J$52,9,TRUE),FALSE))</f>
        <v>0</v>
      </c>
      <c r="T29" s="4" t="b">
        <f>IF($E29="Perche ",IF($D29="BeF",VLOOKUP($Q29,BeF_Concours!C$3:J$52,8,TRUE),FALSE))</f>
        <v>0</v>
      </c>
      <c r="U29" s="4" t="b">
        <f>IF($E29="Hauteur ",IF($D29="BeM",VLOOKUP($Q29,BeM_Concours!B$3:J$52,9,TRUE),FALSE))</f>
        <v>0</v>
      </c>
      <c r="V29" s="4" t="b">
        <f>IF($E29="Perche ",IF($D29="BeM",VLOOKUP($Q29,BeM_Concours!C$3:J$52,8,TRUE),FALSE))</f>
        <v>0</v>
      </c>
      <c r="W29" s="4" t="b">
        <f>IF($E29="Hauteur ",IF($D29="MiF",VLOOKUP($Q29,MiF_Concours!B$3:J$52,9,TRUE),FALSE))</f>
        <v>0</v>
      </c>
      <c r="X29" s="4" t="b">
        <f>IF($E29="Perche ",IF($D29="MiF",VLOOKUP($Q29,MiF_Concours!C$3:J$52,8,TRUE),FALSE))</f>
        <v>0</v>
      </c>
      <c r="Y29" s="4" t="b">
        <f>IF($E29="Hauteur ",IF($D29="MiM",VLOOKUP($Q29,MiM_Concours!B$3:J$52,9,TRUE),FALSE))</f>
        <v>0</v>
      </c>
      <c r="Z29" s="4" t="b">
        <f>IF($E29="Perche ",IF($D29="MiM",VLOOKUP($Q29,MiM_Concours!C$3:J$52,8,TRUE),FALSE))</f>
        <v>0</v>
      </c>
      <c r="AA29" s="11"/>
    </row>
    <row r="30" spans="1:27" ht="15.75" thickBot="1">
      <c r="A30" s="60"/>
      <c r="B30" s="46"/>
      <c r="C30" s="70"/>
      <c r="D30" s="36" t="s">
        <v>54</v>
      </c>
      <c r="E30" s="37"/>
      <c r="F30" s="165"/>
      <c r="G30" s="109"/>
      <c r="H30" s="110"/>
      <c r="I30" s="110"/>
      <c r="J30" s="110"/>
      <c r="K30" s="110"/>
      <c r="L30" s="110"/>
      <c r="M30" s="110"/>
      <c r="N30" s="110"/>
      <c r="O30" s="110"/>
      <c r="P30" s="111"/>
      <c r="Q30" s="104">
        <f t="shared" si="0"/>
        <v>0</v>
      </c>
      <c r="R30" s="12">
        <f t="shared" si="1"/>
        <v>0</v>
      </c>
      <c r="S30" s="105" t="b">
        <f>IF($E30="Hauteur ",IF($D30="BeF",VLOOKUP($Q30,BeF_Concours!B$3:J$52,9,TRUE),FALSE))</f>
        <v>0</v>
      </c>
      <c r="T30" s="4" t="b">
        <f>IF($E30="Perche ",IF($D30="BeF",VLOOKUP($Q30,BeF_Concours!C$3:J$52,8,TRUE),FALSE))</f>
        <v>0</v>
      </c>
      <c r="U30" s="4" t="b">
        <f>IF($E30="Hauteur ",IF($D30="BeM",VLOOKUP($Q30,BeM_Concours!B$3:J$52,9,TRUE),FALSE))</f>
        <v>0</v>
      </c>
      <c r="V30" s="4" t="b">
        <f>IF($E30="Perche ",IF($D30="BeM",VLOOKUP($Q30,BeM_Concours!C$3:J$52,8,TRUE),FALSE))</f>
        <v>0</v>
      </c>
      <c r="W30" s="4" t="b">
        <f>IF($E30="Hauteur ",IF($D30="MiF",VLOOKUP($Q30,MiF_Concours!B$3:J$52,9,TRUE),FALSE))</f>
        <v>0</v>
      </c>
      <c r="X30" s="4" t="b">
        <f>IF($E30="Perche ",IF($D30="MiF",VLOOKUP($Q30,MiF_Concours!C$3:J$52,8,TRUE),FALSE))</f>
        <v>0</v>
      </c>
      <c r="Y30" s="4" t="b">
        <f>IF($E30="Hauteur ",IF($D30="MiM",VLOOKUP($Q30,MiM_Concours!B$3:J$52,9,TRUE),FALSE))</f>
        <v>0</v>
      </c>
      <c r="Z30" s="4" t="b">
        <f>IF($E30="Perche ",IF($D30="MiM",VLOOKUP($Q30,MiM_Concours!C$3:J$52,8,TRUE),FALSE))</f>
        <v>0</v>
      </c>
      <c r="AA30" s="11"/>
    </row>
    <row r="31" spans="1:27" ht="15">
      <c r="A31" s="60"/>
      <c r="B31" s="46"/>
      <c r="C31" s="70"/>
      <c r="D31" s="36" t="s">
        <v>54</v>
      </c>
      <c r="E31" s="37"/>
      <c r="F31" s="163" t="s">
        <v>210</v>
      </c>
      <c r="G31" s="101"/>
      <c r="H31" s="102"/>
      <c r="I31" s="102"/>
      <c r="J31" s="102"/>
      <c r="K31" s="102"/>
      <c r="L31" s="102"/>
      <c r="M31" s="102"/>
      <c r="N31" s="102"/>
      <c r="O31" s="102"/>
      <c r="P31" s="103"/>
      <c r="Q31" s="104">
        <f t="shared" si="0"/>
        <v>0</v>
      </c>
      <c r="R31" s="12">
        <f t="shared" si="1"/>
        <v>0</v>
      </c>
      <c r="S31" s="105" t="b">
        <f>IF($E31="Hauteur ",IF($D31="BeF",VLOOKUP($Q31,BeF_Concours!B$3:J$52,9,TRUE),FALSE))</f>
        <v>0</v>
      </c>
      <c r="T31" s="4" t="b">
        <f>IF($E31="Perche ",IF($D31="BeF",VLOOKUP($Q31,BeF_Concours!C$3:J$52,8,TRUE),FALSE))</f>
        <v>0</v>
      </c>
      <c r="U31" s="4" t="b">
        <f>IF($E31="Hauteur ",IF($D31="BeM",VLOOKUP($Q31,BeM_Concours!B$3:J$52,9,TRUE),FALSE))</f>
        <v>0</v>
      </c>
      <c r="V31" s="4" t="b">
        <f>IF($E31="Perche ",IF($D31="BeM",VLOOKUP($Q31,BeM_Concours!C$3:J$52,8,TRUE),FALSE))</f>
        <v>0</v>
      </c>
      <c r="W31" s="4" t="b">
        <f>IF($E31="Hauteur ",IF($D31="MiF",VLOOKUP($Q31,MiF_Concours!B$3:J$52,9,TRUE),FALSE))</f>
        <v>0</v>
      </c>
      <c r="X31" s="4" t="b">
        <f>IF($E31="Perche ",IF($D31="MiF",VLOOKUP($Q31,MiF_Concours!C$3:J$52,8,TRUE),FALSE))</f>
        <v>0</v>
      </c>
      <c r="Y31" s="4" t="b">
        <f>IF($E31="Hauteur ",IF($D31="MiM",VLOOKUP($Q31,MiM_Concours!B$3:J$52,9,TRUE),FALSE))</f>
        <v>0</v>
      </c>
      <c r="Z31" s="4" t="b">
        <f>IF($E31="Perche ",IF($D31="MiM",VLOOKUP($Q31,MiM_Concours!C$3:J$52,8,TRUE),FALSE))</f>
        <v>0</v>
      </c>
      <c r="AA31" s="11"/>
    </row>
    <row r="32" spans="1:27" ht="15">
      <c r="A32" s="60"/>
      <c r="B32" s="46"/>
      <c r="C32" s="70"/>
      <c r="D32" s="36" t="s">
        <v>54</v>
      </c>
      <c r="E32" s="37"/>
      <c r="F32" s="164" t="s">
        <v>211</v>
      </c>
      <c r="G32" s="106"/>
      <c r="H32" s="107"/>
      <c r="I32" s="107"/>
      <c r="J32" s="107"/>
      <c r="K32" s="107"/>
      <c r="L32" s="107"/>
      <c r="M32" s="107"/>
      <c r="N32" s="107"/>
      <c r="O32" s="107"/>
      <c r="P32" s="108"/>
      <c r="Q32" s="104">
        <f t="shared" si="0"/>
        <v>0</v>
      </c>
      <c r="R32" s="12">
        <f t="shared" si="1"/>
        <v>0</v>
      </c>
      <c r="S32" s="105" t="b">
        <f>IF($E32="Hauteur ",IF($D32="BeF",VLOOKUP($Q32,BeF_Concours!B$3:J$52,9,TRUE),FALSE))</f>
        <v>0</v>
      </c>
      <c r="T32" s="4" t="b">
        <f>IF($E32="Perche ",IF($D32="BeF",VLOOKUP($Q32,BeF_Concours!C$3:J$52,8,TRUE),FALSE))</f>
        <v>0</v>
      </c>
      <c r="U32" s="4" t="b">
        <f>IF($E32="Hauteur ",IF($D32="BeM",VLOOKUP($Q32,BeM_Concours!B$3:J$52,9,TRUE),FALSE))</f>
        <v>0</v>
      </c>
      <c r="V32" s="4" t="b">
        <f>IF($E32="Perche ",IF($D32="BeM",VLOOKUP($Q32,BeM_Concours!C$3:J$52,8,TRUE),FALSE))</f>
        <v>0</v>
      </c>
      <c r="W32" s="4" t="b">
        <f>IF($E32="Hauteur ",IF($D32="MiF",VLOOKUP($Q32,MiF_Concours!B$3:J$52,9,TRUE),FALSE))</f>
        <v>0</v>
      </c>
      <c r="X32" s="4" t="b">
        <f>IF($E32="Perche ",IF($D32="MiF",VLOOKUP($Q32,MiF_Concours!C$3:J$52,8,TRUE),FALSE))</f>
        <v>0</v>
      </c>
      <c r="Y32" s="4" t="b">
        <f>IF($E32="Hauteur ",IF($D32="MiM",VLOOKUP($Q32,MiM_Concours!B$3:J$52,9,TRUE),FALSE))</f>
        <v>0</v>
      </c>
      <c r="Z32" s="4" t="b">
        <f>IF($E32="Perche ",IF($D32="MiM",VLOOKUP($Q32,MiM_Concours!C$3:J$52,8,TRUE),FALSE))</f>
        <v>0</v>
      </c>
      <c r="AA32" s="11"/>
    </row>
    <row r="33" spans="1:27" ht="15">
      <c r="A33" s="60"/>
      <c r="B33" s="46"/>
      <c r="C33" s="70"/>
      <c r="D33" s="36" t="s">
        <v>54</v>
      </c>
      <c r="E33" s="37"/>
      <c r="F33" s="164" t="s">
        <v>212</v>
      </c>
      <c r="G33" s="106"/>
      <c r="H33" s="107"/>
      <c r="I33" s="107"/>
      <c r="J33" s="107"/>
      <c r="K33" s="107"/>
      <c r="L33" s="107"/>
      <c r="M33" s="107"/>
      <c r="N33" s="107"/>
      <c r="O33" s="107"/>
      <c r="P33" s="108"/>
      <c r="Q33" s="104">
        <f t="shared" si="0"/>
        <v>0</v>
      </c>
      <c r="R33" s="12">
        <f t="shared" si="1"/>
        <v>0</v>
      </c>
      <c r="S33" s="105" t="b">
        <f>IF($E33="Hauteur ",IF($D33="BeF",VLOOKUP($Q33,BeF_Concours!B$3:J$52,9,TRUE),FALSE))</f>
        <v>0</v>
      </c>
      <c r="T33" s="4" t="b">
        <f>IF($E33="Perche ",IF($D33="BeF",VLOOKUP($Q33,BeF_Concours!C$3:J$52,8,TRUE),FALSE))</f>
        <v>0</v>
      </c>
      <c r="U33" s="4" t="b">
        <f>IF($E33="Hauteur ",IF($D33="BeM",VLOOKUP($Q33,BeM_Concours!B$3:J$52,9,TRUE),FALSE))</f>
        <v>0</v>
      </c>
      <c r="V33" s="4" t="b">
        <f>IF($E33="Perche ",IF($D33="BeM",VLOOKUP($Q33,BeM_Concours!C$3:J$52,8,TRUE),FALSE))</f>
        <v>0</v>
      </c>
      <c r="W33" s="4" t="b">
        <f>IF($E33="Hauteur ",IF($D33="MiF",VLOOKUP($Q33,MiF_Concours!B$3:J$52,9,TRUE),FALSE))</f>
        <v>0</v>
      </c>
      <c r="X33" s="4" t="b">
        <f>IF($E33="Perche ",IF($D33="MiF",VLOOKUP($Q33,MiF_Concours!C$3:J$52,8,TRUE),FALSE))</f>
        <v>0</v>
      </c>
      <c r="Y33" s="4" t="b">
        <f>IF($E33="Hauteur ",IF($D33="MiM",VLOOKUP($Q33,MiM_Concours!B$3:J$52,9,TRUE),FALSE))</f>
        <v>0</v>
      </c>
      <c r="Z33" s="4" t="b">
        <f>IF($E33="Perche ",IF($D33="MiM",VLOOKUP($Q33,MiM_Concours!C$3:J$52,8,TRUE),FALSE))</f>
        <v>0</v>
      </c>
      <c r="AA33" s="11"/>
    </row>
    <row r="34" spans="1:27" ht="15">
      <c r="A34" s="60"/>
      <c r="B34" s="46"/>
      <c r="C34" s="70"/>
      <c r="D34" s="36" t="s">
        <v>54</v>
      </c>
      <c r="E34" s="37"/>
      <c r="F34" s="164" t="s">
        <v>213</v>
      </c>
      <c r="G34" s="106"/>
      <c r="H34" s="107"/>
      <c r="I34" s="107"/>
      <c r="J34" s="107"/>
      <c r="K34" s="107"/>
      <c r="L34" s="107"/>
      <c r="M34" s="107"/>
      <c r="N34" s="107"/>
      <c r="O34" s="107"/>
      <c r="P34" s="108"/>
      <c r="Q34" s="104">
        <f t="shared" si="0"/>
        <v>0</v>
      </c>
      <c r="R34" s="12">
        <f t="shared" si="1"/>
        <v>0</v>
      </c>
      <c r="S34" s="105" t="b">
        <f>IF($E34="Hauteur ",IF($D34="BeF",VLOOKUP($Q34,BeF_Concours!B$3:J$52,9,TRUE),FALSE))</f>
        <v>0</v>
      </c>
      <c r="T34" s="4" t="b">
        <f>IF($E34="Perche ",IF($D34="BeF",VLOOKUP($Q34,BeF_Concours!C$3:J$52,8,TRUE),FALSE))</f>
        <v>0</v>
      </c>
      <c r="U34" s="4" t="b">
        <f>IF($E34="Hauteur ",IF($D34="BeM",VLOOKUP($Q34,BeM_Concours!B$3:J$52,9,TRUE),FALSE))</f>
        <v>0</v>
      </c>
      <c r="V34" s="4" t="b">
        <f>IF($E34="Perche ",IF($D34="BeM",VLOOKUP($Q34,BeM_Concours!C$3:J$52,8,TRUE),FALSE))</f>
        <v>0</v>
      </c>
      <c r="W34" s="4" t="b">
        <f>IF($E34="Hauteur ",IF($D34="MiF",VLOOKUP($Q34,MiF_Concours!B$3:J$52,9,TRUE),FALSE))</f>
        <v>0</v>
      </c>
      <c r="X34" s="4" t="b">
        <f>IF($E34="Perche ",IF($D34="MiF",VLOOKUP($Q34,MiF_Concours!C$3:J$52,8,TRUE),FALSE))</f>
        <v>0</v>
      </c>
      <c r="Y34" s="4" t="b">
        <f>IF($E34="Hauteur ",IF($D34="MiM",VLOOKUP($Q34,MiM_Concours!B$3:J$52,9,TRUE),FALSE))</f>
        <v>0</v>
      </c>
      <c r="Z34" s="4" t="b">
        <f>IF($E34="Perche ",IF($D34="MiM",VLOOKUP($Q34,MiM_Concours!C$3:J$52,8,TRUE),FALSE))</f>
        <v>0</v>
      </c>
      <c r="AA34" s="11"/>
    </row>
    <row r="35" spans="1:27" ht="15">
      <c r="A35" s="60"/>
      <c r="B35" s="46"/>
      <c r="C35" s="70"/>
      <c r="D35" s="36" t="s">
        <v>54</v>
      </c>
      <c r="E35" s="37"/>
      <c r="F35" s="164" t="s">
        <v>214</v>
      </c>
      <c r="G35" s="106"/>
      <c r="H35" s="107"/>
      <c r="I35" s="107"/>
      <c r="J35" s="107"/>
      <c r="K35" s="107"/>
      <c r="L35" s="107"/>
      <c r="M35" s="107"/>
      <c r="N35" s="107"/>
      <c r="O35" s="107"/>
      <c r="P35" s="108"/>
      <c r="Q35" s="104">
        <f t="shared" si="0"/>
        <v>0</v>
      </c>
      <c r="R35" s="12">
        <f t="shared" si="1"/>
        <v>0</v>
      </c>
      <c r="S35" s="105" t="b">
        <f>IF($E35="Hauteur ",IF($D35="BeF",VLOOKUP($Q35,BeF_Concours!B$3:J$52,9,TRUE),FALSE))</f>
        <v>0</v>
      </c>
      <c r="T35" s="4" t="b">
        <f>IF($E35="Perche ",IF($D35="BeF",VLOOKUP($Q35,BeF_Concours!C$3:J$52,8,TRUE),FALSE))</f>
        <v>0</v>
      </c>
      <c r="U35" s="4" t="b">
        <f>IF($E35="Hauteur ",IF($D35="BeM",VLOOKUP($Q35,BeM_Concours!B$3:J$52,9,TRUE),FALSE))</f>
        <v>0</v>
      </c>
      <c r="V35" s="4" t="b">
        <f>IF($E35="Perche ",IF($D35="BeM",VLOOKUP($Q35,BeM_Concours!C$3:J$52,8,TRUE),FALSE))</f>
        <v>0</v>
      </c>
      <c r="W35" s="4" t="b">
        <f>IF($E35="Hauteur ",IF($D35="MiF",VLOOKUP($Q35,MiF_Concours!B$3:J$52,9,TRUE),FALSE))</f>
        <v>0</v>
      </c>
      <c r="X35" s="4" t="b">
        <f>IF($E35="Perche ",IF($D35="MiF",VLOOKUP($Q35,MiF_Concours!C$3:J$52,8,TRUE),FALSE))</f>
        <v>0</v>
      </c>
      <c r="Y35" s="4" t="b">
        <f>IF($E35="Hauteur ",IF($D35="MiM",VLOOKUP($Q35,MiM_Concours!B$3:J$52,9,TRUE),FALSE))</f>
        <v>0</v>
      </c>
      <c r="Z35" s="4" t="b">
        <f>IF($E35="Perche ",IF($D35="MiM",VLOOKUP($Q35,MiM_Concours!C$3:J$52,8,TRUE),FALSE))</f>
        <v>0</v>
      </c>
      <c r="AA35" s="11"/>
    </row>
    <row r="36" spans="1:27" ht="15">
      <c r="A36" s="60"/>
      <c r="B36" s="46"/>
      <c r="C36" s="70"/>
      <c r="D36" s="36" t="s">
        <v>54</v>
      </c>
      <c r="E36" s="37"/>
      <c r="F36" s="164"/>
      <c r="G36" s="106"/>
      <c r="H36" s="107"/>
      <c r="I36" s="107"/>
      <c r="J36" s="107"/>
      <c r="K36" s="107"/>
      <c r="L36" s="107"/>
      <c r="M36" s="107"/>
      <c r="N36" s="107"/>
      <c r="O36" s="107"/>
      <c r="P36" s="108"/>
      <c r="Q36" s="104">
        <f t="shared" si="0"/>
        <v>0</v>
      </c>
      <c r="R36" s="12">
        <f t="shared" si="1"/>
        <v>0</v>
      </c>
      <c r="S36" s="105" t="b">
        <f>IF($E36="Hauteur ",IF($D36="BeF",VLOOKUP($Q36,BeF_Concours!B$3:J$52,9,TRUE),FALSE))</f>
        <v>0</v>
      </c>
      <c r="T36" s="4" t="b">
        <f>IF($E36="Perche ",IF($D36="BeF",VLOOKUP($Q36,BeF_Concours!C$3:J$52,8,TRUE),FALSE))</f>
        <v>0</v>
      </c>
      <c r="U36" s="4" t="b">
        <f>IF($E36="Hauteur ",IF($D36="BeM",VLOOKUP($Q36,BeM_Concours!B$3:J$52,9,TRUE),FALSE))</f>
        <v>0</v>
      </c>
      <c r="V36" s="4" t="b">
        <f>IF($E36="Perche ",IF($D36="BeM",VLOOKUP($Q36,BeM_Concours!C$3:J$52,8,TRUE),FALSE))</f>
        <v>0</v>
      </c>
      <c r="W36" s="4" t="b">
        <f>IF($E36="Hauteur ",IF($D36="MiF",VLOOKUP($Q36,MiF_Concours!B$3:J$52,9,TRUE),FALSE))</f>
        <v>0</v>
      </c>
      <c r="X36" s="4" t="b">
        <f>IF($E36="Perche ",IF($D36="MiF",VLOOKUP($Q36,MiF_Concours!C$3:J$52,8,TRUE),FALSE))</f>
        <v>0</v>
      </c>
      <c r="Y36" s="4" t="b">
        <f>IF($E36="Hauteur ",IF($D36="MiM",VLOOKUP($Q36,MiM_Concours!B$3:J$52,9,TRUE),FALSE))</f>
        <v>0</v>
      </c>
      <c r="Z36" s="4" t="b">
        <f>IF($E36="Perche ",IF($D36="MiM",VLOOKUP($Q36,MiM_Concours!C$3:J$52,8,TRUE),FALSE))</f>
        <v>0</v>
      </c>
      <c r="AA36" s="11"/>
    </row>
    <row r="37" spans="1:27" ht="15.75" thickBot="1">
      <c r="A37" s="62"/>
      <c r="B37" s="63"/>
      <c r="C37" s="71"/>
      <c r="D37" s="38" t="s">
        <v>54</v>
      </c>
      <c r="E37" s="39"/>
      <c r="F37" s="165"/>
      <c r="G37" s="109"/>
      <c r="H37" s="110"/>
      <c r="I37" s="110"/>
      <c r="J37" s="110"/>
      <c r="K37" s="110"/>
      <c r="L37" s="110"/>
      <c r="M37" s="110"/>
      <c r="N37" s="110"/>
      <c r="O37" s="110"/>
      <c r="P37" s="111"/>
      <c r="Q37" s="112">
        <f t="shared" si="0"/>
        <v>0</v>
      </c>
      <c r="R37" s="12">
        <f t="shared" si="1"/>
        <v>0</v>
      </c>
      <c r="S37" s="105" t="b">
        <f>IF($E37="Hauteur ",IF($D37="BeF",VLOOKUP($Q37,BeF_Concours!B$3:J$52,9,TRUE),FALSE))</f>
        <v>0</v>
      </c>
      <c r="T37" s="4" t="b">
        <f>IF($E37="Perche ",IF($D37="BeF",VLOOKUP($Q37,BeF_Concours!C$3:J$52,8,TRUE),FALSE))</f>
        <v>0</v>
      </c>
      <c r="U37" s="4" t="b">
        <f>IF($E37="Hauteur ",IF($D37="BeM",VLOOKUP($Q37,BeM_Concours!B$3:J$52,9,TRUE),FALSE))</f>
        <v>0</v>
      </c>
      <c r="V37" s="4" t="b">
        <f>IF($E37="Perche ",IF($D37="BeM",VLOOKUP($Q37,BeM_Concours!C$3:J$52,8,TRUE),FALSE))</f>
        <v>0</v>
      </c>
      <c r="W37" s="4" t="b">
        <f>IF($E37="Hauteur ",IF($D37="MiF",VLOOKUP($Q37,MiF_Concours!B$3:J$52,9,TRUE),FALSE))</f>
        <v>0</v>
      </c>
      <c r="X37" s="4" t="b">
        <f>IF($E37="Perche ",IF($D37="MiF",VLOOKUP($Q37,MiF_Concours!C$3:J$52,8,TRUE),FALSE))</f>
        <v>0</v>
      </c>
      <c r="Y37" s="4" t="b">
        <f>IF($E37="Hauteur ",IF($D37="MiM",VLOOKUP($Q37,MiM_Concours!B$3:J$52,9,TRUE),FALSE))</f>
        <v>0</v>
      </c>
      <c r="Z37" s="4" t="b">
        <f>IF($E37="Perche ",IF($D37="MiM",VLOOKUP($Q37,MiM_Concours!C$3:J$52,8,TRUE),FALSE))</f>
        <v>0</v>
      </c>
      <c r="AA37" s="11"/>
    </row>
  </sheetData>
  <sheetProtection password="D2F3" sheet="1" objects="1" scenarios="1" selectLockedCells="1"/>
  <mergeCells count="9">
    <mergeCell ref="A2:R2"/>
    <mergeCell ref="C3:L3"/>
    <mergeCell ref="N3:R3"/>
    <mergeCell ref="B4:B5"/>
    <mergeCell ref="C4:M5"/>
    <mergeCell ref="N4:O4"/>
    <mergeCell ref="P4:Q4"/>
    <mergeCell ref="N5:O5"/>
    <mergeCell ref="P5:Q5"/>
  </mergeCells>
  <dataValidations count="3">
    <dataValidation type="list" allowBlank="1" showInputMessage="1" showErrorMessage="1" sqref="B3">
      <formula1>$T$1:$T$5</formula1>
    </dataValidation>
    <dataValidation type="list" allowBlank="1" showInputMessage="1" showErrorMessage="1" sqref="E7:E37">
      <formula1>$T$2:$T$4</formula1>
    </dataValidation>
    <dataValidation type="list" allowBlank="1" showInputMessage="1" showErrorMessage="1" sqref="D7:D37">
      <formula1>$Y$4:$Y$5</formula1>
    </dataValidation>
  </dataValidations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scale="65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B37"/>
  <sheetViews>
    <sheetView workbookViewId="0" topLeftCell="A3">
      <selection activeCell="A7" sqref="A7:C37"/>
    </sheetView>
  </sheetViews>
  <sheetFormatPr defaultColWidth="11.421875" defaultRowHeight="15"/>
  <cols>
    <col min="1" max="3" width="18.28125" style="0" customWidth="1"/>
    <col min="4" max="5" width="18.00390625" style="2" customWidth="1"/>
    <col min="6" max="10" width="12.57421875" style="0" customWidth="1"/>
    <col min="11" max="11" width="13.8515625" style="2" bestFit="1" customWidth="1"/>
    <col min="12" max="27" width="11.421875" style="0" hidden="1" customWidth="1"/>
  </cols>
  <sheetData>
    <row r="1" spans="1:28" ht="171" customHeight="1" thickBot="1">
      <c r="A1" s="5"/>
      <c r="B1" s="6"/>
      <c r="C1" s="6"/>
      <c r="D1" s="123"/>
      <c r="E1" s="123"/>
      <c r="F1" s="6"/>
      <c r="G1" s="6"/>
      <c r="H1" s="6"/>
      <c r="I1" s="6"/>
      <c r="J1" s="6"/>
      <c r="K1" s="123"/>
      <c r="L1" s="8"/>
      <c r="AB1" s="11"/>
    </row>
    <row r="2" spans="1:28" ht="24" thickBot="1">
      <c r="A2" s="240" t="s">
        <v>108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  <c r="M2" t="s">
        <v>109</v>
      </c>
      <c r="N2" t="s">
        <v>110</v>
      </c>
      <c r="R2" t="s">
        <v>52</v>
      </c>
      <c r="AB2" s="11"/>
    </row>
    <row r="3" spans="1:28" ht="15.75" thickBot="1">
      <c r="A3" s="21" t="s">
        <v>111</v>
      </c>
      <c r="B3" s="22"/>
      <c r="C3" s="203" t="str">
        <f>IF(B3="Poids ",N2,IF(B3="Javelot ",N3,IF(B3="Disque ",N4,IF(B3="Marteau ",N5," "))))</f>
        <v/>
      </c>
      <c r="D3" s="204"/>
      <c r="E3" s="204"/>
      <c r="F3" s="205"/>
      <c r="G3" s="23" t="s">
        <v>62</v>
      </c>
      <c r="H3" s="206"/>
      <c r="I3" s="206"/>
      <c r="J3" s="206"/>
      <c r="K3" s="207"/>
      <c r="L3" s="9"/>
      <c r="M3" t="s">
        <v>112</v>
      </c>
      <c r="N3" t="s">
        <v>113</v>
      </c>
      <c r="R3" t="s">
        <v>53</v>
      </c>
      <c r="AB3" s="11"/>
    </row>
    <row r="4" spans="1:28" ht="15">
      <c r="A4" s="18" t="s">
        <v>0</v>
      </c>
      <c r="B4" s="195" t="s">
        <v>61</v>
      </c>
      <c r="C4" s="245"/>
      <c r="D4" s="245"/>
      <c r="E4" s="246"/>
      <c r="F4" s="247"/>
      <c r="G4" s="215" t="s">
        <v>1</v>
      </c>
      <c r="H4" s="216"/>
      <c r="I4" s="217" t="s">
        <v>2</v>
      </c>
      <c r="J4" s="218"/>
      <c r="K4" s="270"/>
      <c r="L4" s="9"/>
      <c r="M4" t="s">
        <v>114</v>
      </c>
      <c r="N4" t="s">
        <v>115</v>
      </c>
      <c r="R4" t="s">
        <v>54</v>
      </c>
      <c r="AB4" s="11"/>
    </row>
    <row r="5" spans="1:28" ht="15.75" thickBot="1">
      <c r="A5" s="24"/>
      <c r="B5" s="210"/>
      <c r="C5" s="248"/>
      <c r="D5" s="248"/>
      <c r="E5" s="220"/>
      <c r="F5" s="249"/>
      <c r="G5" s="219"/>
      <c r="H5" s="220"/>
      <c r="I5" s="221"/>
      <c r="J5" s="222"/>
      <c r="K5" s="271"/>
      <c r="L5" s="9"/>
      <c r="M5" t="s">
        <v>116</v>
      </c>
      <c r="N5" t="s">
        <v>110</v>
      </c>
      <c r="R5" t="s">
        <v>55</v>
      </c>
      <c r="AB5" s="11"/>
    </row>
    <row r="6" spans="1:28" ht="30" customHeight="1" thickBot="1">
      <c r="A6" s="126" t="s">
        <v>3</v>
      </c>
      <c r="B6" s="20" t="s">
        <v>4</v>
      </c>
      <c r="C6" s="20" t="s">
        <v>5</v>
      </c>
      <c r="D6" s="20" t="s">
        <v>7</v>
      </c>
      <c r="E6" s="20" t="s">
        <v>134</v>
      </c>
      <c r="F6" s="20" t="s">
        <v>117</v>
      </c>
      <c r="G6" s="20" t="s">
        <v>118</v>
      </c>
      <c r="H6" s="20" t="s">
        <v>119</v>
      </c>
      <c r="I6" s="20" t="s">
        <v>120</v>
      </c>
      <c r="J6" s="20" t="s">
        <v>121</v>
      </c>
      <c r="K6" s="20" t="s">
        <v>6</v>
      </c>
      <c r="L6" s="9" t="s">
        <v>52</v>
      </c>
      <c r="M6" t="s">
        <v>122</v>
      </c>
      <c r="N6" t="s">
        <v>123</v>
      </c>
      <c r="O6" t="s">
        <v>124</v>
      </c>
      <c r="P6" t="s">
        <v>53</v>
      </c>
      <c r="Q6" t="s">
        <v>125</v>
      </c>
      <c r="R6" t="s">
        <v>126</v>
      </c>
      <c r="S6" t="s">
        <v>127</v>
      </c>
      <c r="T6" t="s">
        <v>54</v>
      </c>
      <c r="U6" t="s">
        <v>128</v>
      </c>
      <c r="V6" t="s">
        <v>56</v>
      </c>
      <c r="W6" t="s">
        <v>57</v>
      </c>
      <c r="X6" t="s">
        <v>55</v>
      </c>
      <c r="Y6" t="s">
        <v>58</v>
      </c>
      <c r="Z6" t="s">
        <v>59</v>
      </c>
      <c r="AA6" t="s">
        <v>60</v>
      </c>
      <c r="AB6" s="11"/>
    </row>
    <row r="7" spans="1:28" ht="15">
      <c r="A7" s="56"/>
      <c r="B7" s="57"/>
      <c r="C7" s="69"/>
      <c r="D7" s="34" t="s">
        <v>53</v>
      </c>
      <c r="E7" s="35"/>
      <c r="F7" s="76"/>
      <c r="G7" s="121"/>
      <c r="H7" s="121"/>
      <c r="I7" s="121"/>
      <c r="J7" s="149">
        <f>MAX(F7,G7,H7,I7)</f>
        <v>0</v>
      </c>
      <c r="K7" s="150">
        <f>MAX(L7,M7,N7,O7,P7,Q7,R7,S7,T7,U7,V7,W7,X7,Y7,Z7,AA7)</f>
        <v>0</v>
      </c>
      <c r="L7" s="25" t="b">
        <f>IF($E7="Poids ",IF($D7="BeF",VLOOKUP($J7,BeF_Concours!$F$3:$J$52,5,TRUE),FALSE))</f>
        <v>0</v>
      </c>
      <c r="M7" s="4" t="b">
        <f>IF($E7="Javelot ",IF($D7="BeF",VLOOKUP($J7,BeF_Concours!$I$3:$J$52,2,TRUE),FALSE))</f>
        <v>0</v>
      </c>
      <c r="N7" s="4" t="b">
        <f>IF($E7="Disque ",IF($D7="BeF",VLOOKUP($J7,BeF_Concours!$G$3:$J$52,4,TRUE),FALSE))</f>
        <v>0</v>
      </c>
      <c r="O7" s="3" t="b">
        <f>IF($E7="Marteau ",IF($D7="BeF",VLOOKUP($J7,BeF_Concours!$H$3:$J$52,3,"VRAI"),FALSE))</f>
        <v>0</v>
      </c>
      <c r="P7" s="4" t="b">
        <f>IF($E7="Poids ",IF($D7="BeM",VLOOKUP($J7,BeM_Concours!F$3:J$52,5,TRUE),TRUE))</f>
        <v>0</v>
      </c>
      <c r="Q7" s="4" t="b">
        <f>IF($E7="Javelot ",IF($D7="BeM",VLOOKUP($J7,BeM_Concours!$I$3:$J$52,2,TRUE),FALSE))</f>
        <v>0</v>
      </c>
      <c r="R7" s="4" t="b">
        <f>IF($E7="Disque ",IF($D7="BeM",VLOOKUP($J7,BeM_Concours!$G$3:$J$52,4,TRUE),FALSE))</f>
        <v>0</v>
      </c>
      <c r="S7" s="4" t="b">
        <f>IF($E7="Marteau ",IF($D7="BeM",VLOOKUP($J7,BeM_Concours!$H$3:$J$52,3,"VRAI"),FALSE))</f>
        <v>0</v>
      </c>
      <c r="T7" s="4" t="b">
        <f>IF($E7="Poids ",IF($D7="MiF",VLOOKUP($J7,MiF_Concours!$F$3:$J$52,5,TRUE),FALSE))</f>
        <v>0</v>
      </c>
      <c r="U7" s="4" t="b">
        <f>IF($E7="Javelot ",IF($D7="MiF",VLOOKUP($J7,MiF_Concours!$I$3:$J$52,2,TRUE),FALSE))</f>
        <v>0</v>
      </c>
      <c r="V7" s="4" t="b">
        <f>IF($E7="Disque ",IF($D7="MiF",VLOOKUP($J7,MiF_Concours!$G$3:$J$52,4,TRUE),FALSE))</f>
        <v>0</v>
      </c>
      <c r="W7" s="4" t="b">
        <f>IF($E7="Marteau ",IF($D7="MiF",VLOOKUP($J7,MiF_Concours!$H$3:$J$52,3,"VRAI"),FALSE))</f>
        <v>0</v>
      </c>
      <c r="X7" s="4" t="b">
        <f>IF($E7="Poids ",IF($D7="MiM",VLOOKUP($J7,MiM_Concours!$F$3:$J$52,5,TRUE),FALSE))</f>
        <v>0</v>
      </c>
      <c r="Y7" s="4" t="b">
        <f>IF($E7="Javelot ",IF($D7="MiM",VLOOKUP($J7,MiM_Concours!$I$3:$J$52,2,TRUE),FALSE))</f>
        <v>0</v>
      </c>
      <c r="Z7" s="4" t="b">
        <f>IF($E7="Disque ",IF($D7="MiM",VLOOKUP($J7,MiM_Concours!$G$3:$J$52,4,TRUE),FALSE))</f>
        <v>0</v>
      </c>
      <c r="AA7" s="4" t="b">
        <f>IF($E7="Marteau ",IF($D7="MiM",VLOOKUP($J7,MiM_Concours!$H$3:$J$52,3,"VRAI"),FALSE))</f>
        <v>0</v>
      </c>
      <c r="AB7" s="11"/>
    </row>
    <row r="8" spans="1:28" ht="15">
      <c r="A8" s="60"/>
      <c r="B8" s="46"/>
      <c r="C8" s="70"/>
      <c r="D8" s="36" t="s">
        <v>55</v>
      </c>
      <c r="E8" s="37"/>
      <c r="F8" s="80"/>
      <c r="G8" s="48"/>
      <c r="H8" s="48"/>
      <c r="I8" s="48"/>
      <c r="J8" s="151">
        <f aca="true" t="shared" si="0" ref="J8:J37">MAX(F8,G8,H8,I8)</f>
        <v>0</v>
      </c>
      <c r="K8" s="152">
        <f aca="true" t="shared" si="1" ref="K8:K37">MAX(L8,M8,N8,O8,P8,Q8,R8,S8,T8,U8,V8,W8,X8,Y8,Z8,AA8)</f>
        <v>0</v>
      </c>
      <c r="L8" s="25" t="b">
        <f>IF($E8="Poids ",IF($D8="BeF",VLOOKUP($J8,BeF_Concours!$F$3:$J$52,5,TRUE),FALSE))</f>
        <v>0</v>
      </c>
      <c r="M8" s="4" t="b">
        <f>IF($E8="Javelot ",IF($D8="BeF",VLOOKUP($J8,BeF_Concours!$I$3:$J$52,2,TRUE),FALSE))</f>
        <v>0</v>
      </c>
      <c r="N8" s="4" t="b">
        <f>IF($E8="Disque ",IF($D8="BeF",VLOOKUP($J8,BeF_Concours!$G$3:$J$52,4,TRUE),FALSE))</f>
        <v>0</v>
      </c>
      <c r="O8" s="3" t="b">
        <f>IF($E8="Marteau ",IF($D8="BeF",VLOOKUP($J8,BeF_Concours!$H$3:$J$52,3,"VRAI"),FALSE))</f>
        <v>0</v>
      </c>
      <c r="P8" s="4" t="b">
        <f>IF($E8="Poids ",IF($D8="BeM",VLOOKUP($J8,BeM_Concours!F$3:J$52,5,TRUE),TRUE))</f>
        <v>0</v>
      </c>
      <c r="Q8" s="4" t="b">
        <f>IF($E8="Javelot ",IF($D8="BeM",VLOOKUP($J8,BeM_Concours!$I$3:$J$52,2,TRUE),FALSE))</f>
        <v>0</v>
      </c>
      <c r="R8" s="4" t="b">
        <f>IF($E8="Disque ",IF($D8="BeM",VLOOKUP($J8,BeM_Concours!$G$3:$J$52,4,TRUE),FALSE))</f>
        <v>0</v>
      </c>
      <c r="S8" s="4" t="b">
        <f>IF($E8="Marteau ",IF($D8="BeM",VLOOKUP($J8,BeM_Concours!$H$3:$J$52,3,"VRAI"),FALSE))</f>
        <v>0</v>
      </c>
      <c r="T8" s="4" t="b">
        <f>IF($E8="Poids ",IF($D8="MiF",VLOOKUP($J8,MiF_Concours!$F$3:$J$52,5,TRUE),FALSE))</f>
        <v>0</v>
      </c>
      <c r="U8" s="4" t="b">
        <f>IF($E8="Javelot ",IF($D8="MiF",VLOOKUP($J8,MiF_Concours!$I$3:$J$52,2,TRUE),FALSE))</f>
        <v>0</v>
      </c>
      <c r="V8" s="4" t="b">
        <f>IF($E8="Disque ",IF($D8="MiF",VLOOKUP($J8,MiF_Concours!$G$3:$J$52,4,TRUE),FALSE))</f>
        <v>0</v>
      </c>
      <c r="W8" s="4" t="b">
        <f>IF($E8="Marteau ",IF($D8="MiF",VLOOKUP($J8,MiF_Concours!$H$3:$J$52,3,"VRAI"),FALSE))</f>
        <v>0</v>
      </c>
      <c r="X8" s="4" t="b">
        <f>IF($E8="Poids ",IF($D8="MiM",VLOOKUP($J8,MiM_Concours!$F$3:$J$52,5,TRUE),FALSE))</f>
        <v>0</v>
      </c>
      <c r="Y8" s="4" t="b">
        <f>IF($E8="Javelot ",IF($D8="MiM",VLOOKUP($J8,MiM_Concours!$I$3:$J$52,2,TRUE),FALSE))</f>
        <v>0</v>
      </c>
      <c r="Z8" s="4" t="b">
        <f>IF($E8="Disque ",IF($D8="MiM",VLOOKUP($J8,MiM_Concours!$G$3:$J$52,4,TRUE),FALSE))</f>
        <v>0</v>
      </c>
      <c r="AA8" s="4" t="b">
        <f>IF($E8="Marteau ",IF($D8="MiM",VLOOKUP($J8,MiM_Concours!$H$3:$J$52,3,"VRAI"),FALSE))</f>
        <v>0</v>
      </c>
      <c r="AB8" s="11"/>
    </row>
    <row r="9" spans="1:28" ht="15">
      <c r="A9" s="60"/>
      <c r="B9" s="46"/>
      <c r="C9" s="70"/>
      <c r="D9" s="36" t="s">
        <v>53</v>
      </c>
      <c r="E9" s="37"/>
      <c r="F9" s="80"/>
      <c r="G9" s="48"/>
      <c r="H9" s="48"/>
      <c r="I9" s="48"/>
      <c r="J9" s="151">
        <f t="shared" si="0"/>
        <v>0</v>
      </c>
      <c r="K9" s="152">
        <f t="shared" si="1"/>
        <v>0</v>
      </c>
      <c r="L9" s="25" t="b">
        <f>IF($E9="Poids ",IF($D9="BeF",VLOOKUP($J9,BeF_Concours!$F$3:$J$52,5,TRUE),FALSE))</f>
        <v>0</v>
      </c>
      <c r="M9" s="4" t="b">
        <f>IF($E9="Javelot ",IF($D9="BeF",VLOOKUP($J9,BeF_Concours!$I$3:$J$52,2,TRUE),FALSE))</f>
        <v>0</v>
      </c>
      <c r="N9" s="4" t="b">
        <f>IF($E9="Disque ",IF($D9="BeF",VLOOKUP($J9,BeF_Concours!$G$3:$J$52,4,TRUE),FALSE))</f>
        <v>0</v>
      </c>
      <c r="O9" s="3" t="b">
        <f>IF($E9="Marteau ",IF($D9="BeF",VLOOKUP($J9,BeF_Concours!$H$3:$J$52,3,"VRAI"),FALSE))</f>
        <v>0</v>
      </c>
      <c r="P9" s="4" t="b">
        <f>IF($E9="Poids ",IF($D9="BeM",VLOOKUP($J9,BeM_Concours!F$3:J$52,5,TRUE),TRUE))</f>
        <v>0</v>
      </c>
      <c r="Q9" s="4" t="b">
        <f>IF($E9="Javelot ",IF($D9="BeM",VLOOKUP($J9,BeM_Concours!$I$3:$J$52,2,TRUE),FALSE))</f>
        <v>0</v>
      </c>
      <c r="R9" s="4" t="b">
        <f>IF($E9="Disque ",IF($D9="BeM",VLOOKUP($J9,BeM_Concours!$G$3:$J$52,4,TRUE),FALSE))</f>
        <v>0</v>
      </c>
      <c r="S9" s="4" t="b">
        <f>IF($E9="Marteau ",IF($D9="BeM",VLOOKUP($J9,BeM_Concours!$H$3:$J$52,3,"VRAI"),FALSE))</f>
        <v>0</v>
      </c>
      <c r="T9" s="4" t="b">
        <f>IF($E9="Poids ",IF($D9="MiF",VLOOKUP($J9,MiF_Concours!$F$3:$J$52,5,TRUE),FALSE))</f>
        <v>0</v>
      </c>
      <c r="U9" s="4" t="b">
        <f>IF($E9="Javelot ",IF($D9="MiF",VLOOKUP($J9,MiF_Concours!$I$3:$J$52,2,TRUE),FALSE))</f>
        <v>0</v>
      </c>
      <c r="V9" s="4" t="b">
        <f>IF($E9="Disque ",IF($D9="MiF",VLOOKUP($J9,MiF_Concours!$G$3:$J$52,4,TRUE),FALSE))</f>
        <v>0</v>
      </c>
      <c r="W9" s="4" t="b">
        <f>IF($E9="Marteau ",IF($D9="MiF",VLOOKUP($J9,MiF_Concours!$H$3:$J$52,3,"VRAI"),FALSE))</f>
        <v>0</v>
      </c>
      <c r="X9" s="4" t="b">
        <f>IF($E9="Poids ",IF($D9="MiM",VLOOKUP($J9,MiM_Concours!$F$3:$J$52,5,TRUE),FALSE))</f>
        <v>0</v>
      </c>
      <c r="Y9" s="4" t="b">
        <f>IF($E9="Javelot ",IF($D9="MiM",VLOOKUP($J9,MiM_Concours!$I$3:$J$52,2,TRUE),FALSE))</f>
        <v>0</v>
      </c>
      <c r="Z9" s="4" t="b">
        <f>IF($E9="Disque ",IF($D9="MiM",VLOOKUP($J9,MiM_Concours!$G$3:$J$52,4,TRUE),FALSE))</f>
        <v>0</v>
      </c>
      <c r="AA9" s="4" t="b">
        <f>IF($E9="Marteau ",IF($D9="MiM",VLOOKUP($J9,MiM_Concours!$H$3:$J$52,3,"VRAI"),FALSE))</f>
        <v>0</v>
      </c>
      <c r="AB9" s="11"/>
    </row>
    <row r="10" spans="1:28" ht="15">
      <c r="A10" s="60"/>
      <c r="B10" s="46"/>
      <c r="C10" s="70"/>
      <c r="D10" s="47" t="s">
        <v>54</v>
      </c>
      <c r="E10" s="37"/>
      <c r="F10" s="80"/>
      <c r="G10" s="48"/>
      <c r="H10" s="48"/>
      <c r="I10" s="48"/>
      <c r="J10" s="151">
        <f t="shared" si="0"/>
        <v>0</v>
      </c>
      <c r="K10" s="152">
        <f t="shared" si="1"/>
        <v>0</v>
      </c>
      <c r="L10" s="25" t="b">
        <f>IF($E10="Poids ",IF($D10="BeF",VLOOKUP($J10,BeF_Concours!$F$3:$J$52,5,TRUE),FALSE))</f>
        <v>0</v>
      </c>
      <c r="M10" s="4" t="b">
        <f>IF($E10="Javelot ",IF($D10="BeF",VLOOKUP($J10,BeF_Concours!$I$3:$J$52,2,TRUE),FALSE))</f>
        <v>0</v>
      </c>
      <c r="N10" s="4" t="b">
        <f>IF($E10="Disque ",IF($D10="BeF",VLOOKUP($J10,BeF_Concours!$G$3:$J$52,4,TRUE),FALSE))</f>
        <v>0</v>
      </c>
      <c r="O10" s="3" t="b">
        <f>IF($E10="Marteau ",IF($D10="BeF",VLOOKUP($J10,BeF_Concours!$H$3:$J$52,3,"VRAI"),FALSE))</f>
        <v>0</v>
      </c>
      <c r="P10" s="4" t="b">
        <f>IF($E10="Poids ",IF($D10="BeM",VLOOKUP($J10,BeM_Concours!F$3:J$52,5,TRUE),TRUE))</f>
        <v>0</v>
      </c>
      <c r="Q10" s="4" t="b">
        <f>IF($E10="Javelot ",IF($D10="BeM",VLOOKUP($J10,BeM_Concours!$I$3:$J$52,2,TRUE),FALSE))</f>
        <v>0</v>
      </c>
      <c r="R10" s="4" t="b">
        <f>IF($E10="Disque ",IF($D10="BeM",VLOOKUP($J10,BeM_Concours!$G$3:$J$52,4,TRUE),FALSE))</f>
        <v>0</v>
      </c>
      <c r="S10" s="4" t="b">
        <f>IF($E10="Marteau ",IF($D10="BeM",VLOOKUP($J10,BeM_Concours!$H$3:$J$52,3,"VRAI"),FALSE))</f>
        <v>0</v>
      </c>
      <c r="T10" s="4" t="b">
        <f>IF($E10="Poids ",IF($D10="MiF",VLOOKUP($J10,MiF_Concours!$F$3:$J$52,5,TRUE),FALSE))</f>
        <v>0</v>
      </c>
      <c r="U10" s="4" t="b">
        <f>IF($E10="Javelot ",IF($D10="MiF",VLOOKUP($J10,MiF_Concours!$I$3:$J$52,2,TRUE),FALSE))</f>
        <v>0</v>
      </c>
      <c r="V10" s="4" t="b">
        <f>IF($E10="Disque ",IF($D10="MiF",VLOOKUP($J10,MiF_Concours!$G$3:$J$52,4,TRUE),FALSE))</f>
        <v>0</v>
      </c>
      <c r="W10" s="4" t="b">
        <f>IF($E10="Marteau ",IF($D10="MiF",VLOOKUP($J10,MiF_Concours!$H$3:$J$52,3,"VRAI"),FALSE))</f>
        <v>0</v>
      </c>
      <c r="X10" s="4" t="b">
        <f>IF($E10="Poids ",IF($D10="MiM",VLOOKUP($J10,MiM_Concours!$F$3:$J$52,5,TRUE),FALSE))</f>
        <v>0</v>
      </c>
      <c r="Y10" s="4" t="b">
        <f>IF($E10="Javelot ",IF($D10="MiM",VLOOKUP($J10,MiM_Concours!$I$3:$J$52,2,TRUE),FALSE))</f>
        <v>0</v>
      </c>
      <c r="Z10" s="4" t="b">
        <f>IF($E10="Disque ",IF($D10="MiM",VLOOKUP($J10,MiM_Concours!$G$3:$J$52,4,TRUE),FALSE))</f>
        <v>0</v>
      </c>
      <c r="AA10" s="4" t="b">
        <f>IF($E10="Marteau ",IF($D10="MiM",VLOOKUP($J10,MiM_Concours!$H$3:$J$52,3,"VRAI"),FALSE))</f>
        <v>0</v>
      </c>
      <c r="AB10" s="11"/>
    </row>
    <row r="11" spans="1:28" ht="15">
      <c r="A11" s="60"/>
      <c r="B11" s="46"/>
      <c r="C11" s="70"/>
      <c r="D11" s="47" t="s">
        <v>54</v>
      </c>
      <c r="E11" s="37"/>
      <c r="F11" s="80"/>
      <c r="G11" s="48"/>
      <c r="H11" s="48"/>
      <c r="I11" s="48"/>
      <c r="J11" s="151">
        <f t="shared" si="0"/>
        <v>0</v>
      </c>
      <c r="K11" s="152">
        <f t="shared" si="1"/>
        <v>0</v>
      </c>
      <c r="L11" s="25" t="b">
        <f>IF($E11="Poids ",IF($D11="BeF",VLOOKUP($J11,BeF_Concours!$F$3:$J$52,5,TRUE),FALSE))</f>
        <v>0</v>
      </c>
      <c r="M11" s="4" t="b">
        <f>IF($E11="Javelot ",IF($D11="BeF",VLOOKUP($J11,BeF_Concours!$I$3:$J$52,2,TRUE),FALSE))</f>
        <v>0</v>
      </c>
      <c r="N11" s="4" t="b">
        <f>IF($E11="Disque ",IF($D11="BeF",VLOOKUP($J11,BeF_Concours!$G$3:$J$52,4,TRUE),FALSE))</f>
        <v>0</v>
      </c>
      <c r="O11" s="3" t="b">
        <f>IF($E11="Marteau ",IF($D11="BeF",VLOOKUP($J11,BeF_Concours!$H$3:$J$52,3,"VRAI"),FALSE))</f>
        <v>0</v>
      </c>
      <c r="P11" s="4" t="b">
        <f>IF($E11="Poids ",IF($D11="BeM",VLOOKUP($J11,BeM_Concours!F$3:J$52,5,TRUE),TRUE))</f>
        <v>0</v>
      </c>
      <c r="Q11" s="4" t="b">
        <f>IF($E11="Javelot ",IF($D11="BeM",VLOOKUP($J11,BeM_Concours!$I$3:$J$52,2,TRUE),FALSE))</f>
        <v>0</v>
      </c>
      <c r="R11" s="4" t="b">
        <f>IF($E11="Disque ",IF($D11="BeM",VLOOKUP($J11,BeM_Concours!$G$3:$J$52,4,TRUE),FALSE))</f>
        <v>0</v>
      </c>
      <c r="S11" s="4" t="b">
        <f>IF($E11="Marteau ",IF($D11="BeM",VLOOKUP($J11,BeM_Concours!$H$3:$J$52,3,"VRAI"),FALSE))</f>
        <v>0</v>
      </c>
      <c r="T11" s="4" t="b">
        <f>IF($E11="Poids ",IF($D11="MiF",VLOOKUP($J11,MiF_Concours!$F$3:$J$52,5,TRUE),FALSE))</f>
        <v>0</v>
      </c>
      <c r="U11" s="4" t="b">
        <f>IF($E11="Javelot ",IF($D11="MiF",VLOOKUP($J11,MiF_Concours!$I$3:$J$52,2,TRUE),FALSE))</f>
        <v>0</v>
      </c>
      <c r="V11" s="4" t="b">
        <f>IF($E11="Disque ",IF($D11="MiF",VLOOKUP($J11,MiF_Concours!$G$3:$J$52,4,TRUE),FALSE))</f>
        <v>0</v>
      </c>
      <c r="W11" s="4" t="b">
        <f>IF($E11="Marteau ",IF($D11="MiF",VLOOKUP($J11,MiF_Concours!$H$3:$J$52,3,"VRAI"),FALSE))</f>
        <v>0</v>
      </c>
      <c r="X11" s="4" t="b">
        <f>IF($E11="Poids ",IF($D11="MiM",VLOOKUP($J11,MiM_Concours!$F$3:$J$52,5,TRUE),FALSE))</f>
        <v>0</v>
      </c>
      <c r="Y11" s="4" t="b">
        <f>IF($E11="Javelot ",IF($D11="MiM",VLOOKUP($J11,MiM_Concours!$I$3:$J$52,2,TRUE),FALSE))</f>
        <v>0</v>
      </c>
      <c r="Z11" s="4" t="b">
        <f>IF($E11="Disque ",IF($D11="MiM",VLOOKUP($J11,MiM_Concours!$G$3:$J$52,4,TRUE),FALSE))</f>
        <v>0</v>
      </c>
      <c r="AA11" s="4" t="b">
        <f>IF($E11="Marteau ",IF($D11="MiM",VLOOKUP($J11,MiM_Concours!$H$3:$J$52,3,"VRAI"),FALSE))</f>
        <v>0</v>
      </c>
      <c r="AB11" s="11"/>
    </row>
    <row r="12" spans="1:28" ht="15">
      <c r="A12" s="60"/>
      <c r="B12" s="46"/>
      <c r="C12" s="70"/>
      <c r="D12" s="36" t="s">
        <v>52</v>
      </c>
      <c r="E12" s="37"/>
      <c r="F12" s="80"/>
      <c r="G12" s="48"/>
      <c r="H12" s="48"/>
      <c r="I12" s="48"/>
      <c r="J12" s="151">
        <f t="shared" si="0"/>
        <v>0</v>
      </c>
      <c r="K12" s="152">
        <f t="shared" si="1"/>
        <v>0</v>
      </c>
      <c r="L12" s="25" t="b">
        <f>IF($E12="Poids ",IF($D12="BeF",VLOOKUP($J12,BeF_Concours!$F$3:$J$52,5,TRUE),FALSE))</f>
        <v>0</v>
      </c>
      <c r="M12" s="4" t="b">
        <f>IF($E12="Javelot ",IF($D12="BeF",VLOOKUP($J12,BeF_Concours!$I$3:$J$52,2,TRUE),FALSE))</f>
        <v>0</v>
      </c>
      <c r="N12" s="4" t="b">
        <f>IF($E12="Disque ",IF($D12="BeF",VLOOKUP($J12,BeF_Concours!$G$3:$J$52,4,TRUE),FALSE))</f>
        <v>0</v>
      </c>
      <c r="O12" s="3" t="b">
        <f>IF($E12="Marteau ",IF($D12="BeF",VLOOKUP($J12,BeF_Concours!$H$3:$J$52,3,"VRAI"),FALSE))</f>
        <v>0</v>
      </c>
      <c r="P12" s="4" t="b">
        <f>IF($E12="Poids ",IF($D12="BeM",VLOOKUP($J12,BeM_Concours!F$3:J$52,5,TRUE),TRUE))</f>
        <v>0</v>
      </c>
      <c r="Q12" s="4" t="b">
        <f>IF($E12="Javelot ",IF($D12="BeM",VLOOKUP($J12,BeM_Concours!$I$3:$J$52,2,TRUE),FALSE))</f>
        <v>0</v>
      </c>
      <c r="R12" s="4" t="b">
        <f>IF($E12="Disque ",IF($D12="BeM",VLOOKUP($J12,BeM_Concours!$G$3:$J$52,4,TRUE),FALSE))</f>
        <v>0</v>
      </c>
      <c r="S12" s="4" t="b">
        <f>IF($E12="Marteau ",IF($D12="BeM",VLOOKUP($J12,BeM_Concours!$H$3:$J$52,3,"VRAI"),FALSE))</f>
        <v>0</v>
      </c>
      <c r="T12" s="4" t="b">
        <f>IF($E12="Poids ",IF($D12="MiF",VLOOKUP($J12,MiF_Concours!$F$3:$J$52,5,TRUE),FALSE))</f>
        <v>0</v>
      </c>
      <c r="U12" s="4" t="b">
        <f>IF($E12="Javelot ",IF($D12="MiF",VLOOKUP($J12,MiF_Concours!$I$3:$J$52,2,TRUE),FALSE))</f>
        <v>0</v>
      </c>
      <c r="V12" s="4" t="b">
        <f>IF($E12="Disque ",IF($D12="MiF",VLOOKUP($J12,MiF_Concours!$G$3:$J$52,4,TRUE),FALSE))</f>
        <v>0</v>
      </c>
      <c r="W12" s="4" t="b">
        <f>IF($E12="Marteau ",IF($D12="MiF",VLOOKUP($J12,MiF_Concours!$H$3:$J$52,3,"VRAI"),FALSE))</f>
        <v>0</v>
      </c>
      <c r="X12" s="4" t="b">
        <f>IF($E12="Poids ",IF($D12="MiM",VLOOKUP($J12,MiM_Concours!$F$3:$J$52,5,TRUE),FALSE))</f>
        <v>0</v>
      </c>
      <c r="Y12" s="4" t="b">
        <f>IF($E12="Javelot ",IF($D12="MiM",VLOOKUP($J12,MiM_Concours!$I$3:$J$52,2,TRUE),FALSE))</f>
        <v>0</v>
      </c>
      <c r="Z12" s="4" t="b">
        <f>IF($E12="Disque ",IF($D12="MiM",VLOOKUP($J12,MiM_Concours!$G$3:$J$52,4,TRUE),FALSE))</f>
        <v>0</v>
      </c>
      <c r="AA12" s="4" t="b">
        <f>IF($E12="Marteau ",IF($D12="MiM",VLOOKUP($J12,MiM_Concours!$H$3:$J$52,3,"VRAI"),FALSE))</f>
        <v>0</v>
      </c>
      <c r="AB12" s="11"/>
    </row>
    <row r="13" spans="1:28" ht="15">
      <c r="A13" s="60"/>
      <c r="B13" s="46"/>
      <c r="C13" s="70"/>
      <c r="D13" s="36" t="s">
        <v>52</v>
      </c>
      <c r="E13" s="37"/>
      <c r="F13" s="80"/>
      <c r="G13" s="48"/>
      <c r="H13" s="48"/>
      <c r="I13" s="48"/>
      <c r="J13" s="151">
        <f t="shared" si="0"/>
        <v>0</v>
      </c>
      <c r="K13" s="152">
        <f t="shared" si="1"/>
        <v>0</v>
      </c>
      <c r="L13" s="25" t="b">
        <f>IF($E13="Poids ",IF($D13="BeF",VLOOKUP($J13,BeF_Concours!$F$3:$J$52,5,TRUE),FALSE))</f>
        <v>0</v>
      </c>
      <c r="M13" s="4" t="b">
        <f>IF($E13="Javelot ",IF($D13="BeF",VLOOKUP($J13,BeF_Concours!$I$3:$J$52,2,TRUE),FALSE))</f>
        <v>0</v>
      </c>
      <c r="N13" s="4" t="b">
        <f>IF($E13="Disque ",IF($D13="BeF",VLOOKUP($J13,BeF_Concours!$G$3:$J$52,4,TRUE),FALSE))</f>
        <v>0</v>
      </c>
      <c r="O13" s="3" t="b">
        <f>IF($E13="Marteau ",IF($D13="BeF",VLOOKUP($J13,BeF_Concours!$H$3:$J$52,3,"VRAI"),FALSE))</f>
        <v>0</v>
      </c>
      <c r="P13" s="4" t="b">
        <f>IF($E13="Poids ",IF($D13="BeM",VLOOKUP($J13,BeM_Concours!F$3:J$52,5,TRUE),TRUE))</f>
        <v>0</v>
      </c>
      <c r="Q13" s="4" t="b">
        <f>IF($E13="Javelot ",IF($D13="BeM",VLOOKUP($J13,BeM_Concours!$I$3:$J$52,2,TRUE),FALSE))</f>
        <v>0</v>
      </c>
      <c r="R13" s="4" t="b">
        <f>IF($E13="Disque ",IF($D13="BeM",VLOOKUP($J13,BeM_Concours!$G$3:$J$52,4,TRUE),FALSE))</f>
        <v>0</v>
      </c>
      <c r="S13" s="4" t="b">
        <f>IF($E13="Marteau ",IF($D13="BeM",VLOOKUP($J13,BeM_Concours!$H$3:$J$52,3,"VRAI"),FALSE))</f>
        <v>0</v>
      </c>
      <c r="T13" s="4" t="b">
        <f>IF($E13="Poids ",IF($D13="MiF",VLOOKUP($J13,MiF_Concours!$F$3:$J$52,5,TRUE),FALSE))</f>
        <v>0</v>
      </c>
      <c r="U13" s="4" t="b">
        <f>IF($E13="Javelot ",IF($D13="MiF",VLOOKUP($J13,MiF_Concours!$I$3:$J$52,2,TRUE),FALSE))</f>
        <v>0</v>
      </c>
      <c r="V13" s="4" t="b">
        <f>IF($E13="Disque ",IF($D13="MiF",VLOOKUP($J13,MiF_Concours!$G$3:$J$52,4,TRUE),FALSE))</f>
        <v>0</v>
      </c>
      <c r="W13" s="4" t="b">
        <f>IF($E13="Marteau ",IF($D13="MiF",VLOOKUP($J13,MiF_Concours!$H$3:$J$52,3,"VRAI"),FALSE))</f>
        <v>0</v>
      </c>
      <c r="X13" s="4" t="b">
        <f>IF($E13="Poids ",IF($D13="MiM",VLOOKUP($J13,MiM_Concours!$F$3:$J$52,5,TRUE),FALSE))</f>
        <v>0</v>
      </c>
      <c r="Y13" s="4" t="b">
        <f>IF($E13="Javelot ",IF($D13="MiM",VLOOKUP($J13,MiM_Concours!$I$3:$J$52,2,TRUE),FALSE))</f>
        <v>0</v>
      </c>
      <c r="Z13" s="4" t="b">
        <f>IF($E13="Disque ",IF($D13="MiM",VLOOKUP($J13,MiM_Concours!$G$3:$J$52,4,TRUE),FALSE))</f>
        <v>0</v>
      </c>
      <c r="AA13" s="4" t="b">
        <f>IF($E13="Marteau ",IF($D13="MiM",VLOOKUP($J13,MiM_Concours!$H$3:$J$52,3,"VRAI"),FALSE))</f>
        <v>0</v>
      </c>
      <c r="AB13" s="11"/>
    </row>
    <row r="14" spans="1:28" ht="15">
      <c r="A14" s="60"/>
      <c r="B14" s="46"/>
      <c r="C14" s="70"/>
      <c r="D14" s="36" t="s">
        <v>52</v>
      </c>
      <c r="E14" s="37"/>
      <c r="F14" s="80"/>
      <c r="G14" s="48"/>
      <c r="H14" s="48"/>
      <c r="I14" s="48"/>
      <c r="J14" s="151">
        <f t="shared" si="0"/>
        <v>0</v>
      </c>
      <c r="K14" s="152">
        <f t="shared" si="1"/>
        <v>0</v>
      </c>
      <c r="L14" s="25" t="b">
        <f>IF($E14="Poids ",IF($D14="BeF",VLOOKUP($J14,BeF_Concours!$F$3:$J$52,5,TRUE),FALSE))</f>
        <v>0</v>
      </c>
      <c r="M14" s="4" t="b">
        <f>IF($E14="Javelot ",IF($D14="BeF",VLOOKUP($J14,BeF_Concours!$I$3:$J$52,2,TRUE),FALSE))</f>
        <v>0</v>
      </c>
      <c r="N14" s="4" t="b">
        <f>IF($E14="Disque ",IF($D14="BeF",VLOOKUP($J14,BeF_Concours!$G$3:$J$52,4,TRUE),FALSE))</f>
        <v>0</v>
      </c>
      <c r="O14" s="3" t="b">
        <f>IF($E14="Marteau ",IF($D14="BeF",VLOOKUP($J14,BeF_Concours!$H$3:$J$52,3,"VRAI"),FALSE))</f>
        <v>0</v>
      </c>
      <c r="P14" s="4" t="b">
        <f>IF($E14="Poids ",IF($D14="BeM",VLOOKUP($J14,BeM_Concours!F$3:J$52,5,TRUE),TRUE))</f>
        <v>0</v>
      </c>
      <c r="Q14" s="4" t="b">
        <f>IF($E14="Javelot ",IF($D14="BeM",VLOOKUP($J14,BeM_Concours!$I$3:$J$52,2,TRUE),FALSE))</f>
        <v>0</v>
      </c>
      <c r="R14" s="4" t="b">
        <f>IF($E14="Disque ",IF($D14="BeM",VLOOKUP($J14,BeM_Concours!$G$3:$J$52,4,TRUE),FALSE))</f>
        <v>0</v>
      </c>
      <c r="S14" s="4" t="b">
        <f>IF($E14="Marteau ",IF($D14="BeM",VLOOKUP($J14,BeM_Concours!$H$3:$J$52,3,"VRAI"),FALSE))</f>
        <v>0</v>
      </c>
      <c r="T14" s="4" t="b">
        <f>IF($E14="Poids ",IF($D14="MiF",VLOOKUP($J14,MiF_Concours!$F$3:$J$52,5,TRUE),FALSE))</f>
        <v>0</v>
      </c>
      <c r="U14" s="4" t="b">
        <f>IF($E14="Javelot ",IF($D14="MiF",VLOOKUP($J14,MiF_Concours!$I$3:$J$52,2,TRUE),FALSE))</f>
        <v>0</v>
      </c>
      <c r="V14" s="4" t="b">
        <f>IF($E14="Disque ",IF($D14="MiF",VLOOKUP($J14,MiF_Concours!$G$3:$J$52,4,TRUE),FALSE))</f>
        <v>0</v>
      </c>
      <c r="W14" s="4" t="b">
        <f>IF($E14="Marteau ",IF($D14="MiF",VLOOKUP($J14,MiF_Concours!$H$3:$J$52,3,"VRAI"),FALSE))</f>
        <v>0</v>
      </c>
      <c r="X14" s="4" t="b">
        <f>IF($E14="Poids ",IF($D14="MiM",VLOOKUP($J14,MiM_Concours!$F$3:$J$52,5,TRUE),FALSE))</f>
        <v>0</v>
      </c>
      <c r="Y14" s="4" t="b">
        <f>IF($E14="Javelot ",IF($D14="MiM",VLOOKUP($J14,MiM_Concours!$I$3:$J$52,2,TRUE),FALSE))</f>
        <v>0</v>
      </c>
      <c r="Z14" s="4" t="b">
        <f>IF($E14="Disque ",IF($D14="MiM",VLOOKUP($J14,MiM_Concours!$G$3:$J$52,4,TRUE),FALSE))</f>
        <v>0</v>
      </c>
      <c r="AA14" s="4" t="b">
        <f>IF($E14="Marteau ",IF($D14="MiM",VLOOKUP($J14,MiM_Concours!$H$3:$J$52,3,"VRAI"),FALSE))</f>
        <v>0</v>
      </c>
      <c r="AB14" s="11"/>
    </row>
    <row r="15" spans="1:28" ht="15">
      <c r="A15" s="60"/>
      <c r="B15" s="46"/>
      <c r="C15" s="70"/>
      <c r="D15" s="47" t="s">
        <v>55</v>
      </c>
      <c r="E15" s="37"/>
      <c r="F15" s="80"/>
      <c r="G15" s="48"/>
      <c r="H15" s="48"/>
      <c r="I15" s="48"/>
      <c r="J15" s="151">
        <f t="shared" si="0"/>
        <v>0</v>
      </c>
      <c r="K15" s="152">
        <f t="shared" si="1"/>
        <v>0</v>
      </c>
      <c r="L15" s="25" t="b">
        <f>IF($E15="Poids ",IF($D15="BeF",VLOOKUP($J15,BeF_Concours!$F$3:$J$52,5,TRUE),FALSE))</f>
        <v>0</v>
      </c>
      <c r="M15" s="4" t="b">
        <f>IF($E15="Javelot ",IF($D15="BeF",VLOOKUP($J15,BeF_Concours!$I$3:$J$52,2,TRUE),FALSE))</f>
        <v>0</v>
      </c>
      <c r="N15" s="4" t="b">
        <f>IF($E15="Disque ",IF($D15="BeF",VLOOKUP($J15,BeF_Concours!$G$3:$J$52,4,TRUE),FALSE))</f>
        <v>0</v>
      </c>
      <c r="O15" s="3" t="b">
        <f>IF($E15="Marteau ",IF($D15="BeF",VLOOKUP($J15,BeF_Concours!$H$3:$J$52,3,"VRAI"),FALSE))</f>
        <v>0</v>
      </c>
      <c r="P15" s="4" t="b">
        <f>IF($E15="Poids ",IF($D15="BeM",VLOOKUP($J15,BeM_Concours!F$3:J$52,5,TRUE),TRUE))</f>
        <v>0</v>
      </c>
      <c r="Q15" s="4" t="b">
        <f>IF($E15="Javelot ",IF($D15="BeM",VLOOKUP($J15,BeM_Concours!$I$3:$J$52,2,TRUE),FALSE))</f>
        <v>0</v>
      </c>
      <c r="R15" s="4" t="b">
        <f>IF($E15="Disque ",IF($D15="BeM",VLOOKUP($J15,BeM_Concours!$G$3:$J$52,4,TRUE),FALSE))</f>
        <v>0</v>
      </c>
      <c r="S15" s="4" t="b">
        <f>IF($E15="Marteau ",IF($D15="BeM",VLOOKUP($J15,BeM_Concours!$H$3:$J$52,3,"VRAI"),FALSE))</f>
        <v>0</v>
      </c>
      <c r="T15" s="4" t="b">
        <f>IF($E15="Poids ",IF($D15="MiF",VLOOKUP($J15,MiF_Concours!$F$3:$J$52,5,TRUE),FALSE))</f>
        <v>0</v>
      </c>
      <c r="U15" s="4" t="b">
        <f>IF($E15="Javelot ",IF($D15="MiF",VLOOKUP($J15,MiF_Concours!$I$3:$J$52,2,TRUE),FALSE))</f>
        <v>0</v>
      </c>
      <c r="V15" s="4" t="b">
        <f>IF($E15="Disque ",IF($D15="MiF",VLOOKUP($J15,MiF_Concours!$G$3:$J$52,4,TRUE),FALSE))</f>
        <v>0</v>
      </c>
      <c r="W15" s="4" t="b">
        <f>IF($E15="Marteau ",IF($D15="MiF",VLOOKUP($J15,MiF_Concours!$H$3:$J$52,3,"VRAI"),FALSE))</f>
        <v>0</v>
      </c>
      <c r="X15" s="4" t="b">
        <f>IF($E15="Poids ",IF($D15="MiM",VLOOKUP($J15,MiM_Concours!$F$3:$J$52,5,TRUE),FALSE))</f>
        <v>0</v>
      </c>
      <c r="Y15" s="4" t="b">
        <f>IF($E15="Javelot ",IF($D15="MiM",VLOOKUP($J15,MiM_Concours!$I$3:$J$52,2,TRUE),FALSE))</f>
        <v>0</v>
      </c>
      <c r="Z15" s="4" t="b">
        <f>IF($E15="Disque ",IF($D15="MiM",VLOOKUP($J15,MiM_Concours!$G$3:$J$52,4,TRUE),FALSE))</f>
        <v>0</v>
      </c>
      <c r="AA15" s="4" t="b">
        <f>IF($E15="Marteau ",IF($D15="MiM",VLOOKUP($J15,MiM_Concours!$H$3:$J$52,3,"VRAI"),FALSE))</f>
        <v>0</v>
      </c>
      <c r="AB15" s="11"/>
    </row>
    <row r="16" spans="1:28" ht="15">
      <c r="A16" s="60"/>
      <c r="B16" s="46"/>
      <c r="C16" s="70"/>
      <c r="D16" s="47" t="s">
        <v>55</v>
      </c>
      <c r="E16" s="37"/>
      <c r="F16" s="80"/>
      <c r="G16" s="48"/>
      <c r="H16" s="48"/>
      <c r="I16" s="48"/>
      <c r="J16" s="151">
        <f t="shared" si="0"/>
        <v>0</v>
      </c>
      <c r="K16" s="152">
        <f t="shared" si="1"/>
        <v>0</v>
      </c>
      <c r="L16" s="25" t="b">
        <f>IF($E16="Poids ",IF($D16="BeF",VLOOKUP($J16,BeF_Concours!$F$3:$J$52,5,TRUE),FALSE))</f>
        <v>0</v>
      </c>
      <c r="M16" s="4" t="b">
        <f>IF($E16="Javelot ",IF($D16="BeF",VLOOKUP($J16,BeF_Concours!$I$3:$J$52,2,TRUE),FALSE))</f>
        <v>0</v>
      </c>
      <c r="N16" s="4" t="b">
        <f>IF($E16="Disque ",IF($D16="BeF",VLOOKUP($J16,BeF_Concours!$G$3:$J$52,4,TRUE),FALSE))</f>
        <v>0</v>
      </c>
      <c r="O16" s="3" t="b">
        <f>IF($E16="Marteau ",IF($D16="BeF",VLOOKUP($J16,BeF_Concours!$H$3:$J$52,3,"VRAI"),FALSE))</f>
        <v>0</v>
      </c>
      <c r="P16" s="4" t="b">
        <f>IF($E16="Poids ",IF($D16="BeM",VLOOKUP($J16,BeM_Concours!F$3:J$52,5,TRUE),TRUE))</f>
        <v>0</v>
      </c>
      <c r="Q16" s="4" t="b">
        <f>IF($E16="Javelot ",IF($D16="BeM",VLOOKUP($J16,BeM_Concours!$I$3:$J$52,2,TRUE),FALSE))</f>
        <v>0</v>
      </c>
      <c r="R16" s="4" t="b">
        <f>IF($E16="Disque ",IF($D16="BeM",VLOOKUP($J16,BeM_Concours!$G$3:$J$52,4,TRUE),FALSE))</f>
        <v>0</v>
      </c>
      <c r="S16" s="4" t="b">
        <f>IF($E16="Marteau ",IF($D16="BeM",VLOOKUP($J16,BeM_Concours!$H$3:$J$52,3,"VRAI"),FALSE))</f>
        <v>0</v>
      </c>
      <c r="T16" s="4" t="b">
        <f>IF($E16="Poids ",IF($D16="MiF",VLOOKUP($J16,MiF_Concours!$F$3:$J$52,5,TRUE),FALSE))</f>
        <v>0</v>
      </c>
      <c r="U16" s="4" t="b">
        <f>IF($E16="Javelot ",IF($D16="MiF",VLOOKUP($J16,MiF_Concours!$I$3:$J$52,2,TRUE),FALSE))</f>
        <v>0</v>
      </c>
      <c r="V16" s="4" t="b">
        <f>IF($E16="Disque ",IF($D16="MiF",VLOOKUP($J16,MiF_Concours!$G$3:$J$52,4,TRUE),FALSE))</f>
        <v>0</v>
      </c>
      <c r="W16" s="4" t="b">
        <f>IF($E16="Marteau ",IF($D16="MiF",VLOOKUP($J16,MiF_Concours!$H$3:$J$52,3,"VRAI"),FALSE))</f>
        <v>0</v>
      </c>
      <c r="X16" s="4" t="b">
        <f>IF($E16="Poids ",IF($D16="MiM",VLOOKUP($J16,MiM_Concours!$F$3:$J$52,5,TRUE),FALSE))</f>
        <v>0</v>
      </c>
      <c r="Y16" s="4" t="b">
        <f>IF($E16="Javelot ",IF($D16="MiM",VLOOKUP($J16,MiM_Concours!$I$3:$J$52,2,TRUE),FALSE))</f>
        <v>0</v>
      </c>
      <c r="Z16" s="4" t="b">
        <f>IF($E16="Disque ",IF($D16="MiM",VLOOKUP($J16,MiM_Concours!$G$3:$J$52,4,TRUE),FALSE))</f>
        <v>0</v>
      </c>
      <c r="AA16" s="4" t="b">
        <f>IF($E16="Marteau ",IF($D16="MiM",VLOOKUP($J16,MiM_Concours!$H$3:$J$52,3,"VRAI"),FALSE))</f>
        <v>0</v>
      </c>
      <c r="AB16" s="11"/>
    </row>
    <row r="17" spans="1:28" ht="15">
      <c r="A17" s="60"/>
      <c r="B17" s="46"/>
      <c r="C17" s="70"/>
      <c r="D17" s="36" t="s">
        <v>54</v>
      </c>
      <c r="E17" s="37"/>
      <c r="F17" s="80"/>
      <c r="G17" s="48"/>
      <c r="H17" s="48"/>
      <c r="I17" s="48"/>
      <c r="J17" s="151">
        <f t="shared" si="0"/>
        <v>0</v>
      </c>
      <c r="K17" s="152">
        <f t="shared" si="1"/>
        <v>0</v>
      </c>
      <c r="L17" s="25" t="b">
        <f>IF($E17="Poids ",IF($D17="BeF",VLOOKUP($J17,BeF_Concours!$F$3:$J$52,5,TRUE),FALSE))</f>
        <v>0</v>
      </c>
      <c r="M17" s="4" t="b">
        <f>IF($E17="Javelot ",IF($D17="BeF",VLOOKUP($J17,BeF_Concours!$I$3:$J$52,2,TRUE),FALSE))</f>
        <v>0</v>
      </c>
      <c r="N17" s="4" t="b">
        <f>IF($E17="Disque ",IF($D17="BeF",VLOOKUP($J17,BeF_Concours!$G$3:$J$52,4,TRUE),FALSE))</f>
        <v>0</v>
      </c>
      <c r="O17" s="3" t="b">
        <f>IF($E17="Marteau ",IF($D17="BeF",VLOOKUP($J17,BeF_Concours!$H$3:$J$52,3,"VRAI"),FALSE))</f>
        <v>0</v>
      </c>
      <c r="P17" s="4" t="b">
        <f>IF($E17="Poids ",IF($D17="BeM",VLOOKUP($J17,BeM_Concours!F$3:J$52,5,TRUE),TRUE))</f>
        <v>0</v>
      </c>
      <c r="Q17" s="4" t="b">
        <f>IF($E17="Javelot ",IF($D17="BeM",VLOOKUP($J17,BeM_Concours!$I$3:$J$52,2,TRUE),FALSE))</f>
        <v>0</v>
      </c>
      <c r="R17" s="4" t="b">
        <f>IF($E17="Disque ",IF($D17="BeM",VLOOKUP($J17,BeM_Concours!$G$3:$J$52,4,TRUE),FALSE))</f>
        <v>0</v>
      </c>
      <c r="S17" s="4" t="b">
        <f>IF($E17="Marteau ",IF($D17="BeM",VLOOKUP($J17,BeM_Concours!$H$3:$J$52,3,"VRAI"),FALSE))</f>
        <v>0</v>
      </c>
      <c r="T17" s="4" t="b">
        <f>IF($E17="Poids ",IF($D17="MiF",VLOOKUP($J17,MiF_Concours!$F$3:$J$52,5,TRUE),FALSE))</f>
        <v>0</v>
      </c>
      <c r="U17" s="4" t="b">
        <f>IF($E17="Javelot ",IF($D17="MiF",VLOOKUP($J17,MiF_Concours!$I$3:$J$52,2,TRUE),FALSE))</f>
        <v>0</v>
      </c>
      <c r="V17" s="4" t="b">
        <f>IF($E17="Disque ",IF($D17="MiF",VLOOKUP($J17,MiF_Concours!$G$3:$J$52,4,TRUE),FALSE))</f>
        <v>0</v>
      </c>
      <c r="W17" s="4" t="b">
        <f>IF($E17="Marteau ",IF($D17="MiF",VLOOKUP($J17,MiF_Concours!$H$3:$J$52,3,"VRAI"),FALSE))</f>
        <v>0</v>
      </c>
      <c r="X17" s="4" t="b">
        <f>IF($E17="Poids ",IF($D17="MiM",VLOOKUP($J17,MiM_Concours!$F$3:$J$52,5,TRUE),FALSE))</f>
        <v>0</v>
      </c>
      <c r="Y17" s="4" t="b">
        <f>IF($E17="Javelot ",IF($D17="MiM",VLOOKUP($J17,MiM_Concours!$I$3:$J$52,2,TRUE),FALSE))</f>
        <v>0</v>
      </c>
      <c r="Z17" s="4" t="b">
        <f>IF($E17="Disque ",IF($D17="MiM",VLOOKUP($J17,MiM_Concours!$G$3:$J$52,4,TRUE),FALSE))</f>
        <v>0</v>
      </c>
      <c r="AA17" s="4" t="b">
        <f>IF($E17="Marteau ",IF($D17="MiM",VLOOKUP($J17,MiM_Concours!$H$3:$J$52,3,"VRAI"),FALSE))</f>
        <v>0</v>
      </c>
      <c r="AB17" s="11"/>
    </row>
    <row r="18" spans="1:28" ht="15">
      <c r="A18" s="60"/>
      <c r="B18" s="46"/>
      <c r="C18" s="70"/>
      <c r="D18" s="36" t="s">
        <v>52</v>
      </c>
      <c r="E18" s="37"/>
      <c r="F18" s="80"/>
      <c r="G18" s="48"/>
      <c r="H18" s="48"/>
      <c r="I18" s="48"/>
      <c r="J18" s="151">
        <f t="shared" si="0"/>
        <v>0</v>
      </c>
      <c r="K18" s="152">
        <f t="shared" si="1"/>
        <v>0</v>
      </c>
      <c r="L18" s="25" t="b">
        <f>IF($E18="Poids ",IF($D18="BeF",VLOOKUP($J18,BeF_Concours!$F$3:$J$52,5,TRUE),FALSE))</f>
        <v>0</v>
      </c>
      <c r="M18" s="4" t="b">
        <f>IF($E18="Javelot ",IF($D18="BeF",VLOOKUP($J18,BeF_Concours!$I$3:$J$52,2,TRUE),FALSE))</f>
        <v>0</v>
      </c>
      <c r="N18" s="4" t="b">
        <f>IF($E18="Disque ",IF($D18="BeF",VLOOKUP($J18,BeF_Concours!$G$3:$J$52,4,TRUE),FALSE))</f>
        <v>0</v>
      </c>
      <c r="O18" s="3" t="b">
        <f>IF($E18="Marteau ",IF($D18="BeF",VLOOKUP($J18,BeF_Concours!$H$3:$J$52,3,"VRAI"),FALSE))</f>
        <v>0</v>
      </c>
      <c r="P18" s="4" t="b">
        <f>IF($E18="Poids ",IF($D18="BeM",VLOOKUP($J18,BeM_Concours!F$3:J$52,5,TRUE),TRUE))</f>
        <v>0</v>
      </c>
      <c r="Q18" s="4" t="b">
        <f>IF($E18="Javelot ",IF($D18="BeM",VLOOKUP($J18,BeM_Concours!$I$3:$J$52,2,TRUE),FALSE))</f>
        <v>0</v>
      </c>
      <c r="R18" s="4" t="b">
        <f>IF($E18="Disque ",IF($D18="BeM",VLOOKUP($J18,BeM_Concours!$G$3:$J$52,4,TRUE),FALSE))</f>
        <v>0</v>
      </c>
      <c r="S18" s="4" t="b">
        <f>IF($E18="Marteau ",IF($D18="BeM",VLOOKUP($J18,BeM_Concours!$H$3:$J$52,3,"VRAI"),FALSE))</f>
        <v>0</v>
      </c>
      <c r="T18" s="4" t="b">
        <f>IF($E18="Poids ",IF($D18="MiF",VLOOKUP($J18,MiF_Concours!$F$3:$J$52,5,TRUE),FALSE))</f>
        <v>0</v>
      </c>
      <c r="U18" s="4" t="b">
        <f>IF($E18="Javelot ",IF($D18="MiF",VLOOKUP($J18,MiF_Concours!$I$3:$J$52,2,TRUE),FALSE))</f>
        <v>0</v>
      </c>
      <c r="V18" s="4" t="b">
        <f>IF($E18="Disque ",IF($D18="MiF",VLOOKUP($J18,MiF_Concours!$G$3:$J$52,4,TRUE),FALSE))</f>
        <v>0</v>
      </c>
      <c r="W18" s="4" t="b">
        <f>IF($E18="Marteau ",IF($D18="MiF",VLOOKUP($J18,MiF_Concours!$H$3:$J$52,3,"VRAI"),FALSE))</f>
        <v>0</v>
      </c>
      <c r="X18" s="4" t="b">
        <f>IF($E18="Poids ",IF($D18="MiM",VLOOKUP($J18,MiM_Concours!$F$3:$J$52,5,TRUE),FALSE))</f>
        <v>0</v>
      </c>
      <c r="Y18" s="4" t="b">
        <f>IF($E18="Javelot ",IF($D18="MiM",VLOOKUP($J18,MiM_Concours!$I$3:$J$52,2,TRUE),FALSE))</f>
        <v>0</v>
      </c>
      <c r="Z18" s="4" t="b">
        <f>IF($E18="Disque ",IF($D18="MiM",VLOOKUP($J18,MiM_Concours!$G$3:$J$52,4,TRUE),FALSE))</f>
        <v>0</v>
      </c>
      <c r="AA18" s="4" t="b">
        <f>IF($E18="Marteau ",IF($D18="MiM",VLOOKUP($J18,MiM_Concours!$H$3:$J$52,3,"VRAI"),FALSE))</f>
        <v>0</v>
      </c>
      <c r="AB18" s="11"/>
    </row>
    <row r="19" spans="1:28" ht="15">
      <c r="A19" s="60"/>
      <c r="B19" s="46"/>
      <c r="C19" s="70"/>
      <c r="D19" s="36" t="s">
        <v>52</v>
      </c>
      <c r="E19" s="37"/>
      <c r="F19" s="80"/>
      <c r="G19" s="48"/>
      <c r="H19" s="48"/>
      <c r="I19" s="48"/>
      <c r="J19" s="151">
        <f t="shared" si="0"/>
        <v>0</v>
      </c>
      <c r="K19" s="152">
        <f t="shared" si="1"/>
        <v>0</v>
      </c>
      <c r="L19" s="25" t="b">
        <f>IF($E19="Poids ",IF($D19="BeF",VLOOKUP($J19,BeF_Concours!$F$3:$J$52,5,TRUE),FALSE))</f>
        <v>0</v>
      </c>
      <c r="M19" s="4" t="b">
        <f>IF($E19="Javelot ",IF($D19="BeF",VLOOKUP($J19,BeF_Concours!$I$3:$J$52,2,TRUE),FALSE))</f>
        <v>0</v>
      </c>
      <c r="N19" s="4" t="b">
        <f>IF($E19="Disque ",IF($D19="BeF",VLOOKUP($J19,BeF_Concours!$G$3:$J$52,4,TRUE),FALSE))</f>
        <v>0</v>
      </c>
      <c r="O19" s="3" t="b">
        <f>IF($E19="Marteau ",IF($D19="BeF",VLOOKUP($J19,BeF_Concours!$H$3:$J$52,3,"VRAI"),FALSE))</f>
        <v>0</v>
      </c>
      <c r="P19" s="4" t="b">
        <f>IF($E19="Poids ",IF($D19="BeM",VLOOKUP($J19,BeM_Concours!F$3:J$52,5,TRUE),TRUE))</f>
        <v>0</v>
      </c>
      <c r="Q19" s="4" t="b">
        <f>IF($E19="Javelot ",IF($D19="BeM",VLOOKUP($J19,BeM_Concours!$I$3:$J$52,2,TRUE),FALSE))</f>
        <v>0</v>
      </c>
      <c r="R19" s="4" t="b">
        <f>IF($E19="Disque ",IF($D19="BeM",VLOOKUP($J19,BeM_Concours!$G$3:$J$52,4,TRUE),FALSE))</f>
        <v>0</v>
      </c>
      <c r="S19" s="4" t="b">
        <f>IF($E19="Marteau ",IF($D19="BeM",VLOOKUP($J19,BeM_Concours!$H$3:$J$52,3,"VRAI"),FALSE))</f>
        <v>0</v>
      </c>
      <c r="T19" s="4" t="b">
        <f>IF($E19="Poids ",IF($D19="MiF",VLOOKUP($J19,MiF_Concours!$F$3:$J$52,5,TRUE),FALSE))</f>
        <v>0</v>
      </c>
      <c r="U19" s="4" t="b">
        <f>IF($E19="Javelot ",IF($D19="MiF",VLOOKUP($J19,MiF_Concours!$I$3:$J$52,2,TRUE),FALSE))</f>
        <v>0</v>
      </c>
      <c r="V19" s="4" t="b">
        <f>IF($E19="Disque ",IF($D19="MiF",VLOOKUP($J19,MiF_Concours!$G$3:$J$52,4,TRUE),FALSE))</f>
        <v>0</v>
      </c>
      <c r="W19" s="4" t="b">
        <f>IF($E19="Marteau ",IF($D19="MiF",VLOOKUP($J19,MiF_Concours!$H$3:$J$52,3,"VRAI"),FALSE))</f>
        <v>0</v>
      </c>
      <c r="X19" s="4" t="b">
        <f>IF($E19="Poids ",IF($D19="MiM",VLOOKUP($J19,MiM_Concours!$F$3:$J$52,5,TRUE),FALSE))</f>
        <v>0</v>
      </c>
      <c r="Y19" s="4" t="b">
        <f>IF($E19="Javelot ",IF($D19="MiM",VLOOKUP($J19,MiM_Concours!$I$3:$J$52,2,TRUE),FALSE))</f>
        <v>0</v>
      </c>
      <c r="Z19" s="4" t="b">
        <f>IF($E19="Disque ",IF($D19="MiM",VLOOKUP($J19,MiM_Concours!$G$3:$J$52,4,TRUE),FALSE))</f>
        <v>0</v>
      </c>
      <c r="AA19" s="4" t="b">
        <f>IF($E19="Marteau ",IF($D19="MiM",VLOOKUP($J19,MiM_Concours!$H$3:$J$52,3,"VRAI"),FALSE))</f>
        <v>0</v>
      </c>
      <c r="AB19" s="11"/>
    </row>
    <row r="20" spans="1:28" ht="15">
      <c r="A20" s="60"/>
      <c r="B20" s="46"/>
      <c r="C20" s="70"/>
      <c r="D20" s="36" t="s">
        <v>52</v>
      </c>
      <c r="E20" s="37"/>
      <c r="F20" s="80"/>
      <c r="G20" s="48"/>
      <c r="H20" s="48"/>
      <c r="I20" s="48"/>
      <c r="J20" s="151">
        <f t="shared" si="0"/>
        <v>0</v>
      </c>
      <c r="K20" s="152">
        <f t="shared" si="1"/>
        <v>0</v>
      </c>
      <c r="L20" s="25" t="b">
        <f>IF($E20="Poids ",IF($D20="BeF",VLOOKUP($J20,BeF_Concours!$F$3:$J$52,5,TRUE),FALSE))</f>
        <v>0</v>
      </c>
      <c r="M20" s="4" t="b">
        <f>IF($E20="Javelot ",IF($D20="BeF",VLOOKUP($J20,BeF_Concours!$I$3:$J$52,2,TRUE),FALSE))</f>
        <v>0</v>
      </c>
      <c r="N20" s="4" t="b">
        <f>IF($E20="Disque ",IF($D20="BeF",VLOOKUP($J20,BeF_Concours!$G$3:$J$52,4,TRUE),FALSE))</f>
        <v>0</v>
      </c>
      <c r="O20" s="3" t="b">
        <f>IF($E20="Marteau ",IF($D20="BeF",VLOOKUP($J20,BeF_Concours!$H$3:$J$52,3,"VRAI"),FALSE))</f>
        <v>0</v>
      </c>
      <c r="P20" s="4" t="b">
        <f>IF($E20="Poids ",IF($D20="BeM",VLOOKUP($J20,BeM_Concours!F$3:J$52,5,TRUE),TRUE))</f>
        <v>0</v>
      </c>
      <c r="Q20" s="4" t="b">
        <f>IF($E20="Javelot ",IF($D20="BeM",VLOOKUP($J20,BeM_Concours!$I$3:$J$52,2,TRUE),FALSE))</f>
        <v>0</v>
      </c>
      <c r="R20" s="4" t="b">
        <f>IF($E20="Disque ",IF($D20="BeM",VLOOKUP($J20,BeM_Concours!$G$3:$J$52,4,TRUE),FALSE))</f>
        <v>0</v>
      </c>
      <c r="S20" s="4" t="b">
        <f>IF($E20="Marteau ",IF($D20="BeM",VLOOKUP($J20,BeM_Concours!$H$3:$J$52,3,"VRAI"),FALSE))</f>
        <v>0</v>
      </c>
      <c r="T20" s="4" t="b">
        <f>IF($E20="Poids ",IF($D20="MiF",VLOOKUP($J20,MiF_Concours!$F$3:$J$52,5,TRUE),FALSE))</f>
        <v>0</v>
      </c>
      <c r="U20" s="4" t="b">
        <f>IF($E20="Javelot ",IF($D20="MiF",VLOOKUP($J20,MiF_Concours!$I$3:$J$52,2,TRUE),FALSE))</f>
        <v>0</v>
      </c>
      <c r="V20" s="4" t="b">
        <f>IF($E20="Disque ",IF($D20="MiF",VLOOKUP($J20,MiF_Concours!$G$3:$J$52,4,TRUE),FALSE))</f>
        <v>0</v>
      </c>
      <c r="W20" s="4" t="b">
        <f>IF($E20="Marteau ",IF($D20="MiF",VLOOKUP($J20,MiF_Concours!$H$3:$J$52,3,"VRAI"),FALSE))</f>
        <v>0</v>
      </c>
      <c r="X20" s="4" t="b">
        <f>IF($E20="Poids ",IF($D20="MiM",VLOOKUP($J20,MiM_Concours!$F$3:$J$52,5,TRUE),FALSE))</f>
        <v>0</v>
      </c>
      <c r="Y20" s="4" t="b">
        <f>IF($E20="Javelot ",IF($D20="MiM",VLOOKUP($J20,MiM_Concours!$I$3:$J$52,2,TRUE),FALSE))</f>
        <v>0</v>
      </c>
      <c r="Z20" s="4" t="b">
        <f>IF($E20="Disque ",IF($D20="MiM",VLOOKUP($J20,MiM_Concours!$G$3:$J$52,4,TRUE),FALSE))</f>
        <v>0</v>
      </c>
      <c r="AA20" s="4" t="b">
        <f>IF($E20="Marteau ",IF($D20="MiM",VLOOKUP($J20,MiM_Concours!$H$3:$J$52,3,"VRAI"),FALSE))</f>
        <v>0</v>
      </c>
      <c r="AB20" s="11"/>
    </row>
    <row r="21" spans="1:28" ht="15">
      <c r="A21" s="60"/>
      <c r="B21" s="46"/>
      <c r="C21" s="70"/>
      <c r="D21" s="36" t="s">
        <v>52</v>
      </c>
      <c r="E21" s="37"/>
      <c r="F21" s="80"/>
      <c r="G21" s="48"/>
      <c r="H21" s="48"/>
      <c r="I21" s="48"/>
      <c r="J21" s="151">
        <f t="shared" si="0"/>
        <v>0</v>
      </c>
      <c r="K21" s="152">
        <f t="shared" si="1"/>
        <v>0</v>
      </c>
      <c r="L21" s="25" t="b">
        <f>IF($E21="Poids ",IF($D21="BeF",VLOOKUP($J21,BeF_Concours!$F$3:$J$52,5,TRUE),FALSE))</f>
        <v>0</v>
      </c>
      <c r="M21" s="4" t="b">
        <f>IF($E21="Javelot ",IF($D21="BeF",VLOOKUP($J21,BeF_Concours!$I$3:$J$52,2,TRUE),FALSE))</f>
        <v>0</v>
      </c>
      <c r="N21" s="4" t="b">
        <f>IF($E21="Disque ",IF($D21="BeF",VLOOKUP($J21,BeF_Concours!$G$3:$J$52,4,TRUE),FALSE))</f>
        <v>0</v>
      </c>
      <c r="O21" s="3" t="b">
        <f>IF($E21="Marteau ",IF($D21="BeF",VLOOKUP($J21,BeF_Concours!$H$3:$J$52,3,"VRAI"),FALSE))</f>
        <v>0</v>
      </c>
      <c r="P21" s="4" t="b">
        <f>IF($E21="Poids ",IF($D21="BeM",VLOOKUP($J21,BeM_Concours!F$3:J$52,5,TRUE),TRUE))</f>
        <v>0</v>
      </c>
      <c r="Q21" s="4" t="b">
        <f>IF($E21="Javelot ",IF($D21="BeM",VLOOKUP($J21,BeM_Concours!$I$3:$J$52,2,TRUE),FALSE))</f>
        <v>0</v>
      </c>
      <c r="R21" s="4" t="b">
        <f>IF($E21="Disque ",IF($D21="BeM",VLOOKUP($J21,BeM_Concours!$G$3:$J$52,4,TRUE),FALSE))</f>
        <v>0</v>
      </c>
      <c r="S21" s="4" t="b">
        <f>IF($E21="Marteau ",IF($D21="BeM",VLOOKUP($J21,BeM_Concours!$H$3:$J$52,3,"VRAI"),FALSE))</f>
        <v>0</v>
      </c>
      <c r="T21" s="4" t="b">
        <f>IF($E21="Poids ",IF($D21="MiF",VLOOKUP($J21,MiF_Concours!$F$3:$J$52,5,TRUE),FALSE))</f>
        <v>0</v>
      </c>
      <c r="U21" s="4" t="b">
        <f>IF($E21="Javelot ",IF($D21="MiF",VLOOKUP($J21,MiF_Concours!$I$3:$J$52,2,TRUE),FALSE))</f>
        <v>0</v>
      </c>
      <c r="V21" s="4" t="b">
        <f>IF($E21="Disque ",IF($D21="MiF",VLOOKUP($J21,MiF_Concours!$G$3:$J$52,4,TRUE),FALSE))</f>
        <v>0</v>
      </c>
      <c r="W21" s="4" t="b">
        <f>IF($E21="Marteau ",IF($D21="MiF",VLOOKUP($J21,MiF_Concours!$H$3:$J$52,3,"VRAI"),FALSE))</f>
        <v>0</v>
      </c>
      <c r="X21" s="4" t="b">
        <f>IF($E21="Poids ",IF($D21="MiM",VLOOKUP($J21,MiM_Concours!$F$3:$J$52,5,TRUE),FALSE))</f>
        <v>0</v>
      </c>
      <c r="Y21" s="4" t="b">
        <f>IF($E21="Javelot ",IF($D21="MiM",VLOOKUP($J21,MiM_Concours!$I$3:$J$52,2,TRUE),FALSE))</f>
        <v>0</v>
      </c>
      <c r="Z21" s="4" t="b">
        <f>IF($E21="Disque ",IF($D21="MiM",VLOOKUP($J21,MiM_Concours!$G$3:$J$52,4,TRUE),FALSE))</f>
        <v>0</v>
      </c>
      <c r="AA21" s="4" t="b">
        <f>IF($E21="Marteau ",IF($D21="MiM",VLOOKUP($J21,MiM_Concours!$H$3:$J$52,3,"VRAI"),FALSE))</f>
        <v>0</v>
      </c>
      <c r="AB21" s="11"/>
    </row>
    <row r="22" spans="1:28" ht="15">
      <c r="A22" s="60"/>
      <c r="B22" s="46"/>
      <c r="C22" s="70"/>
      <c r="D22" s="36" t="s">
        <v>54</v>
      </c>
      <c r="E22" s="37"/>
      <c r="F22" s="80"/>
      <c r="G22" s="48"/>
      <c r="H22" s="48"/>
      <c r="I22" s="48"/>
      <c r="J22" s="151">
        <f t="shared" si="0"/>
        <v>0</v>
      </c>
      <c r="K22" s="152">
        <f t="shared" si="1"/>
        <v>0</v>
      </c>
      <c r="L22" s="25" t="b">
        <f>IF($E22="Poids ",IF($D22="BeF",VLOOKUP($J22,BeF_Concours!$F$3:$J$52,5,TRUE),FALSE))</f>
        <v>0</v>
      </c>
      <c r="M22" s="4" t="b">
        <f>IF($E22="Javelot ",IF($D22="BeF",VLOOKUP($J22,BeF_Concours!$I$3:$J$52,2,TRUE),FALSE))</f>
        <v>0</v>
      </c>
      <c r="N22" s="4" t="b">
        <f>IF($E22="Disque ",IF($D22="BeF",VLOOKUP($J22,BeF_Concours!$G$3:$J$52,4,TRUE),FALSE))</f>
        <v>0</v>
      </c>
      <c r="O22" s="3" t="b">
        <f>IF($E22="Marteau ",IF($D22="BeF",VLOOKUP($J22,BeF_Concours!$H$3:$J$52,3,"VRAI"),FALSE))</f>
        <v>0</v>
      </c>
      <c r="P22" s="4" t="b">
        <f>IF($E22="Poids ",IF($D22="BeM",VLOOKUP($J22,BeM_Concours!F$3:J$52,5,TRUE),TRUE))</f>
        <v>0</v>
      </c>
      <c r="Q22" s="4" t="b">
        <f>IF($E22="Javelot ",IF($D22="BeM",VLOOKUP($J22,BeM_Concours!$I$3:$J$52,2,TRUE),FALSE))</f>
        <v>0</v>
      </c>
      <c r="R22" s="4" t="b">
        <f>IF($E22="Disque ",IF($D22="BeM",VLOOKUP($J22,BeM_Concours!$G$3:$J$52,4,TRUE),FALSE))</f>
        <v>0</v>
      </c>
      <c r="S22" s="4" t="b">
        <f>IF($E22="Marteau ",IF($D22="BeM",VLOOKUP($J22,BeM_Concours!$H$3:$J$52,3,"VRAI"),FALSE))</f>
        <v>0</v>
      </c>
      <c r="T22" s="4" t="b">
        <f>IF($E22="Poids ",IF($D22="MiF",VLOOKUP($J22,MiF_Concours!$F$3:$J$52,5,TRUE),FALSE))</f>
        <v>0</v>
      </c>
      <c r="U22" s="4" t="b">
        <f>IF($E22="Javelot ",IF($D22="MiF",VLOOKUP($J22,MiF_Concours!$I$3:$J$52,2,TRUE),FALSE))</f>
        <v>0</v>
      </c>
      <c r="V22" s="4" t="b">
        <f>IF($E22="Disque ",IF($D22="MiF",VLOOKUP($J22,MiF_Concours!$G$3:$J$52,4,TRUE),FALSE))</f>
        <v>0</v>
      </c>
      <c r="W22" s="4" t="b">
        <f>IF($E22="Marteau ",IF($D22="MiF",VLOOKUP($J22,MiF_Concours!$H$3:$J$52,3,"VRAI"),FALSE))</f>
        <v>0</v>
      </c>
      <c r="X22" s="4" t="b">
        <f>IF($E22="Poids ",IF($D22="MiM",VLOOKUP($J22,MiM_Concours!$F$3:$J$52,5,TRUE),FALSE))</f>
        <v>0</v>
      </c>
      <c r="Y22" s="4" t="b">
        <f>IF($E22="Javelot ",IF($D22="MiM",VLOOKUP($J22,MiM_Concours!$I$3:$J$52,2,TRUE),FALSE))</f>
        <v>0</v>
      </c>
      <c r="Z22" s="4" t="b">
        <f>IF($E22="Disque ",IF($D22="MiM",VLOOKUP($J22,MiM_Concours!$G$3:$J$52,4,TRUE),FALSE))</f>
        <v>0</v>
      </c>
      <c r="AA22" s="4" t="b">
        <f>IF($E22="Marteau ",IF($D22="MiM",VLOOKUP($J22,MiM_Concours!$H$3:$J$52,3,"VRAI"),FALSE))</f>
        <v>0</v>
      </c>
      <c r="AB22" s="11"/>
    </row>
    <row r="23" spans="1:28" ht="15">
      <c r="A23" s="60"/>
      <c r="B23" s="46"/>
      <c r="C23" s="70"/>
      <c r="D23" s="36" t="s">
        <v>55</v>
      </c>
      <c r="E23" s="37"/>
      <c r="F23" s="80"/>
      <c r="G23" s="48"/>
      <c r="H23" s="48"/>
      <c r="I23" s="48"/>
      <c r="J23" s="151">
        <f t="shared" si="0"/>
        <v>0</v>
      </c>
      <c r="K23" s="152">
        <f t="shared" si="1"/>
        <v>0</v>
      </c>
      <c r="L23" s="25" t="b">
        <f>IF($E23="Poids ",IF($D23="BeF",VLOOKUP($J23,BeF_Concours!$F$3:$J$52,5,TRUE),FALSE))</f>
        <v>0</v>
      </c>
      <c r="M23" s="4" t="b">
        <f>IF($E23="Javelot ",IF($D23="BeF",VLOOKUP($J23,BeF_Concours!$I$3:$J$52,2,TRUE),FALSE))</f>
        <v>0</v>
      </c>
      <c r="N23" s="4" t="b">
        <f>IF($E23="Disque ",IF($D23="BeF",VLOOKUP($J23,BeF_Concours!$G$3:$J$52,4,TRUE),FALSE))</f>
        <v>0</v>
      </c>
      <c r="O23" s="3" t="b">
        <f>IF($E23="Marteau ",IF($D23="BeF",VLOOKUP($J23,BeF_Concours!$H$3:$J$52,3,"VRAI"),FALSE))</f>
        <v>0</v>
      </c>
      <c r="P23" s="4" t="b">
        <f>IF($E23="Poids ",IF($D23="BeM",VLOOKUP($J23,BeM_Concours!F$3:J$52,5,TRUE),TRUE))</f>
        <v>0</v>
      </c>
      <c r="Q23" s="4" t="b">
        <f>IF($E23="Javelot ",IF($D23="BeM",VLOOKUP($J23,BeM_Concours!$I$3:$J$52,2,TRUE),FALSE))</f>
        <v>0</v>
      </c>
      <c r="R23" s="4" t="b">
        <f>IF($E23="Disque ",IF($D23="BeM",VLOOKUP($J23,BeM_Concours!$G$3:$J$52,4,TRUE),FALSE))</f>
        <v>0</v>
      </c>
      <c r="S23" s="4" t="b">
        <f>IF($E23="Marteau ",IF($D23="BeM",VLOOKUP($J23,BeM_Concours!$H$3:$J$52,3,"VRAI"),FALSE))</f>
        <v>0</v>
      </c>
      <c r="T23" s="4" t="b">
        <f>IF($E23="Poids ",IF($D23="MiF",VLOOKUP($J23,MiF_Concours!$F$3:$J$52,5,TRUE),FALSE))</f>
        <v>0</v>
      </c>
      <c r="U23" s="4" t="b">
        <f>IF($E23="Javelot ",IF($D23="MiF",VLOOKUP($J23,MiF_Concours!$I$3:$J$52,2,TRUE),FALSE))</f>
        <v>0</v>
      </c>
      <c r="V23" s="4" t="b">
        <f>IF($E23="Disque ",IF($D23="MiF",VLOOKUP($J23,MiF_Concours!$G$3:$J$52,4,TRUE),FALSE))</f>
        <v>0</v>
      </c>
      <c r="W23" s="4" t="b">
        <f>IF($E23="Marteau ",IF($D23="MiF",VLOOKUP($J23,MiF_Concours!$H$3:$J$52,3,"VRAI"),FALSE))</f>
        <v>0</v>
      </c>
      <c r="X23" s="4" t="b">
        <f>IF($E23="Poids ",IF($D23="MiM",VLOOKUP($J23,MiM_Concours!$F$3:$J$52,5,TRUE),FALSE))</f>
        <v>0</v>
      </c>
      <c r="Y23" s="4" t="b">
        <f>IF($E23="Javelot ",IF($D23="MiM",VLOOKUP($J23,MiM_Concours!$I$3:$J$52,2,TRUE),FALSE))</f>
        <v>0</v>
      </c>
      <c r="Z23" s="4" t="b">
        <f>IF($E23="Disque ",IF($D23="MiM",VLOOKUP($J23,MiM_Concours!$G$3:$J$52,4,TRUE),FALSE))</f>
        <v>0</v>
      </c>
      <c r="AA23" s="4" t="b">
        <f>IF($E23="Marteau ",IF($D23="MiM",VLOOKUP($J23,MiM_Concours!$H$3:$J$52,3,"VRAI"),FALSE))</f>
        <v>0</v>
      </c>
      <c r="AB23" s="11"/>
    </row>
    <row r="24" spans="1:28" ht="15">
      <c r="A24" s="60"/>
      <c r="B24" s="46"/>
      <c r="C24" s="70"/>
      <c r="D24" s="36" t="s">
        <v>52</v>
      </c>
      <c r="E24" s="37"/>
      <c r="F24" s="80"/>
      <c r="G24" s="48"/>
      <c r="H24" s="48"/>
      <c r="I24" s="48"/>
      <c r="J24" s="151">
        <f t="shared" si="0"/>
        <v>0</v>
      </c>
      <c r="K24" s="152">
        <f t="shared" si="1"/>
        <v>0</v>
      </c>
      <c r="L24" s="25" t="b">
        <f>IF($E24="Poids ",IF($D24="BeF",VLOOKUP($J24,BeF_Concours!$F$3:$J$52,5,TRUE),FALSE))</f>
        <v>0</v>
      </c>
      <c r="M24" s="4" t="b">
        <f>IF($E24="Javelot ",IF($D24="BeF",VLOOKUP($J24,BeF_Concours!$I$3:$J$52,2,TRUE),FALSE))</f>
        <v>0</v>
      </c>
      <c r="N24" s="4" t="b">
        <f>IF($E24="Disque ",IF($D24="BeF",VLOOKUP($J24,BeF_Concours!$G$3:$J$52,4,TRUE),FALSE))</f>
        <v>0</v>
      </c>
      <c r="O24" s="3" t="b">
        <f>IF($E24="Marteau ",IF($D24="BeF",VLOOKUP($J24,BeF_Concours!$H$3:$J$52,3,"VRAI"),FALSE))</f>
        <v>0</v>
      </c>
      <c r="P24" s="4" t="b">
        <f>IF($E24="Poids ",IF($D24="BeM",VLOOKUP($J24,BeM_Concours!F$3:J$52,5,TRUE),TRUE))</f>
        <v>0</v>
      </c>
      <c r="Q24" s="4" t="b">
        <f>IF($E24="Javelot ",IF($D24="BeM",VLOOKUP($J24,BeM_Concours!$I$3:$J$52,2,TRUE),FALSE))</f>
        <v>0</v>
      </c>
      <c r="R24" s="4" t="b">
        <f>IF($E24="Disque ",IF($D24="BeM",VLOOKUP($J24,BeM_Concours!$G$3:$J$52,4,TRUE),FALSE))</f>
        <v>0</v>
      </c>
      <c r="S24" s="4" t="b">
        <f>IF($E24="Marteau ",IF($D24="BeM",VLOOKUP($J24,BeM_Concours!$H$3:$J$52,3,"VRAI"),FALSE))</f>
        <v>0</v>
      </c>
      <c r="T24" s="4" t="b">
        <f>IF($E24="Poids ",IF($D24="MiF",VLOOKUP($J24,MiF_Concours!$F$3:$J$52,5,TRUE),FALSE))</f>
        <v>0</v>
      </c>
      <c r="U24" s="4" t="b">
        <f>IF($E24="Javelot ",IF($D24="MiF",VLOOKUP($J24,MiF_Concours!$I$3:$J$52,2,TRUE),FALSE))</f>
        <v>0</v>
      </c>
      <c r="V24" s="4" t="b">
        <f>IF($E24="Disque ",IF($D24="MiF",VLOOKUP($J24,MiF_Concours!$G$3:$J$52,4,TRUE),FALSE))</f>
        <v>0</v>
      </c>
      <c r="W24" s="4" t="b">
        <f>IF($E24="Marteau ",IF($D24="MiF",VLOOKUP($J24,MiF_Concours!$H$3:$J$52,3,"VRAI"),FALSE))</f>
        <v>0</v>
      </c>
      <c r="X24" s="4" t="b">
        <f>IF($E24="Poids ",IF($D24="MiM",VLOOKUP($J24,MiM_Concours!$F$3:$J$52,5,TRUE),FALSE))</f>
        <v>0</v>
      </c>
      <c r="Y24" s="4" t="b">
        <f>IF($E24="Javelot ",IF($D24="MiM",VLOOKUP($J24,MiM_Concours!$I$3:$J$52,2,TRUE),FALSE))</f>
        <v>0</v>
      </c>
      <c r="Z24" s="4" t="b">
        <f>IF($E24="Disque ",IF($D24="MiM",VLOOKUP($J24,MiM_Concours!$G$3:$J$52,4,TRUE),FALSE))</f>
        <v>0</v>
      </c>
      <c r="AA24" s="4" t="b">
        <f>IF($E24="Marteau ",IF($D24="MiM",VLOOKUP($J24,MiM_Concours!$H$3:$J$52,3,"VRAI"),FALSE))</f>
        <v>0</v>
      </c>
      <c r="AB24" s="11"/>
    </row>
    <row r="25" spans="1:28" ht="15">
      <c r="A25" s="60"/>
      <c r="B25" s="46"/>
      <c r="C25" s="70"/>
      <c r="D25" s="36" t="s">
        <v>52</v>
      </c>
      <c r="E25" s="37"/>
      <c r="F25" s="80"/>
      <c r="G25" s="48"/>
      <c r="H25" s="48"/>
      <c r="I25" s="48"/>
      <c r="J25" s="151">
        <f t="shared" si="0"/>
        <v>0</v>
      </c>
      <c r="K25" s="152">
        <f t="shared" si="1"/>
        <v>0</v>
      </c>
      <c r="L25" s="25" t="b">
        <f>IF($E25="Poids ",IF($D25="BeF",VLOOKUP($J25,BeF_Concours!$F$3:$J$52,5,TRUE),FALSE))</f>
        <v>0</v>
      </c>
      <c r="M25" s="4" t="b">
        <f>IF($E25="Javelot ",IF($D25="BeF",VLOOKUP($J25,BeF_Concours!$I$3:$J$52,2,TRUE),FALSE))</f>
        <v>0</v>
      </c>
      <c r="N25" s="4" t="b">
        <f>IF($E25="Disque ",IF($D25="BeF",VLOOKUP($J25,BeF_Concours!$G$3:$J$52,4,TRUE),FALSE))</f>
        <v>0</v>
      </c>
      <c r="O25" s="3" t="b">
        <f>IF($E25="Marteau ",IF($D25="BeF",VLOOKUP($J25,BeF_Concours!$H$3:$J$52,3,"VRAI"),FALSE))</f>
        <v>0</v>
      </c>
      <c r="P25" s="4" t="b">
        <f>IF($E25="Poids ",IF($D25="BeM",VLOOKUP($J25,BeM_Concours!F$3:J$52,5,TRUE),TRUE))</f>
        <v>0</v>
      </c>
      <c r="Q25" s="4" t="b">
        <f>IF($E25="Javelot ",IF($D25="BeM",VLOOKUP($J25,BeM_Concours!$I$3:$J$52,2,TRUE),FALSE))</f>
        <v>0</v>
      </c>
      <c r="R25" s="4" t="b">
        <f>IF($E25="Disque ",IF($D25="BeM",VLOOKUP($J25,BeM_Concours!$G$3:$J$52,4,TRUE),FALSE))</f>
        <v>0</v>
      </c>
      <c r="S25" s="4" t="b">
        <f>IF($E25="Marteau ",IF($D25="BeM",VLOOKUP($J25,BeM_Concours!$H$3:$J$52,3,"VRAI"),FALSE))</f>
        <v>0</v>
      </c>
      <c r="T25" s="4" t="b">
        <f>IF($E25="Poids ",IF($D25="MiF",VLOOKUP($J25,MiF_Concours!$F$3:$J$52,5,TRUE),FALSE))</f>
        <v>0</v>
      </c>
      <c r="U25" s="4" t="b">
        <f>IF($E25="Javelot ",IF($D25="MiF",VLOOKUP($J25,MiF_Concours!$I$3:$J$52,2,TRUE),FALSE))</f>
        <v>0</v>
      </c>
      <c r="V25" s="4" t="b">
        <f>IF($E25="Disque ",IF($D25="MiF",VLOOKUP($J25,MiF_Concours!$G$3:$J$52,4,TRUE),FALSE))</f>
        <v>0</v>
      </c>
      <c r="W25" s="4" t="b">
        <f>IF($E25="Marteau ",IF($D25="MiF",VLOOKUP($J25,MiF_Concours!$H$3:$J$52,3,"VRAI"),FALSE))</f>
        <v>0</v>
      </c>
      <c r="X25" s="4" t="b">
        <f>IF($E25="Poids ",IF($D25="MiM",VLOOKUP($J25,MiM_Concours!$F$3:$J$52,5,TRUE),FALSE))</f>
        <v>0</v>
      </c>
      <c r="Y25" s="4" t="b">
        <f>IF($E25="Javelot ",IF($D25="MiM",VLOOKUP($J25,MiM_Concours!$I$3:$J$52,2,TRUE),FALSE))</f>
        <v>0</v>
      </c>
      <c r="Z25" s="4" t="b">
        <f>IF($E25="Disque ",IF($D25="MiM",VLOOKUP($J25,MiM_Concours!$G$3:$J$52,4,TRUE),FALSE))</f>
        <v>0</v>
      </c>
      <c r="AA25" s="4" t="b">
        <f>IF($E25="Marteau ",IF($D25="MiM",VLOOKUP($J25,MiM_Concours!$H$3:$J$52,3,"VRAI"),FALSE))</f>
        <v>0</v>
      </c>
      <c r="AB25" s="11"/>
    </row>
    <row r="26" spans="1:28" ht="15">
      <c r="A26" s="60"/>
      <c r="B26" s="46"/>
      <c r="C26" s="70"/>
      <c r="D26" s="36" t="s">
        <v>52</v>
      </c>
      <c r="E26" s="37"/>
      <c r="F26" s="80"/>
      <c r="G26" s="48"/>
      <c r="H26" s="48"/>
      <c r="I26" s="48"/>
      <c r="J26" s="151">
        <f t="shared" si="0"/>
        <v>0</v>
      </c>
      <c r="K26" s="152">
        <f t="shared" si="1"/>
        <v>0</v>
      </c>
      <c r="L26" s="25" t="b">
        <f>IF($E26="Poids ",IF($D26="BeF",VLOOKUP($J26,BeF_Concours!$F$3:$J$52,5,TRUE),FALSE))</f>
        <v>0</v>
      </c>
      <c r="M26" s="4" t="b">
        <f>IF($E26="Javelot ",IF($D26="BeF",VLOOKUP($J26,BeF_Concours!$I$3:$J$52,2,TRUE),FALSE))</f>
        <v>0</v>
      </c>
      <c r="N26" s="4" t="b">
        <f>IF($E26="Disque ",IF($D26="BeF",VLOOKUP($J26,BeF_Concours!$G$3:$J$52,4,TRUE),FALSE))</f>
        <v>0</v>
      </c>
      <c r="O26" s="3" t="b">
        <f>IF($E26="Marteau ",IF($D26="BeF",VLOOKUP($J26,BeF_Concours!$H$3:$J$52,3,"VRAI"),FALSE))</f>
        <v>0</v>
      </c>
      <c r="P26" s="4" t="b">
        <f>IF($E26="Poids ",IF($D26="BeM",VLOOKUP($J26,BeM_Concours!F$3:J$52,5,TRUE),TRUE))</f>
        <v>0</v>
      </c>
      <c r="Q26" s="4" t="b">
        <f>IF($E26="Javelot ",IF($D26="BeM",VLOOKUP($J26,BeM_Concours!$I$3:$J$52,2,TRUE),FALSE))</f>
        <v>0</v>
      </c>
      <c r="R26" s="4" t="b">
        <f>IF($E26="Disque ",IF($D26="BeM",VLOOKUP($J26,BeM_Concours!$G$3:$J$52,4,TRUE),FALSE))</f>
        <v>0</v>
      </c>
      <c r="S26" s="4" t="b">
        <f>IF($E26="Marteau ",IF($D26="BeM",VLOOKUP($J26,BeM_Concours!$H$3:$J$52,3,"VRAI"),FALSE))</f>
        <v>0</v>
      </c>
      <c r="T26" s="4" t="b">
        <f>IF($E26="Poids ",IF($D26="MiF",VLOOKUP($J26,MiF_Concours!$F$3:$J$52,5,TRUE),FALSE))</f>
        <v>0</v>
      </c>
      <c r="U26" s="4" t="b">
        <f>IF($E26="Javelot ",IF($D26="MiF",VLOOKUP($J26,MiF_Concours!$I$3:$J$52,2,TRUE),FALSE))</f>
        <v>0</v>
      </c>
      <c r="V26" s="4" t="b">
        <f>IF($E26="Disque ",IF($D26="MiF",VLOOKUP($J26,MiF_Concours!$G$3:$J$52,4,TRUE),FALSE))</f>
        <v>0</v>
      </c>
      <c r="W26" s="4" t="b">
        <f>IF($E26="Marteau ",IF($D26="MiF",VLOOKUP($J26,MiF_Concours!$H$3:$J$52,3,"VRAI"),FALSE))</f>
        <v>0</v>
      </c>
      <c r="X26" s="4" t="b">
        <f>IF($E26="Poids ",IF($D26="MiM",VLOOKUP($J26,MiM_Concours!$F$3:$J$52,5,TRUE),FALSE))</f>
        <v>0</v>
      </c>
      <c r="Y26" s="4" t="b">
        <f>IF($E26="Javelot ",IF($D26="MiM",VLOOKUP($J26,MiM_Concours!$I$3:$J$52,2,TRUE),FALSE))</f>
        <v>0</v>
      </c>
      <c r="Z26" s="4" t="b">
        <f>IF($E26="Disque ",IF($D26="MiM",VLOOKUP($J26,MiM_Concours!$G$3:$J$52,4,TRUE),FALSE))</f>
        <v>0</v>
      </c>
      <c r="AA26" s="4" t="b">
        <f>IF($E26="Marteau ",IF($D26="MiM",VLOOKUP($J26,MiM_Concours!$H$3:$J$52,3,"VRAI"),FALSE))</f>
        <v>0</v>
      </c>
      <c r="AB26" s="11"/>
    </row>
    <row r="27" spans="1:28" ht="15">
      <c r="A27" s="60"/>
      <c r="B27" s="46"/>
      <c r="C27" s="70"/>
      <c r="D27" s="36" t="s">
        <v>52</v>
      </c>
      <c r="E27" s="37"/>
      <c r="F27" s="80"/>
      <c r="G27" s="48"/>
      <c r="H27" s="48"/>
      <c r="I27" s="48"/>
      <c r="J27" s="151">
        <f t="shared" si="0"/>
        <v>0</v>
      </c>
      <c r="K27" s="152">
        <f t="shared" si="1"/>
        <v>0</v>
      </c>
      <c r="L27" s="25" t="b">
        <f>IF($E27="Poids ",IF($D27="BeF",VLOOKUP($J27,BeF_Concours!$F$3:$J$52,5,TRUE),FALSE))</f>
        <v>0</v>
      </c>
      <c r="M27" s="4" t="b">
        <f>IF($E27="Javelot ",IF($D27="BeF",VLOOKUP($J27,BeF_Concours!$I$3:$J$52,2,TRUE),FALSE))</f>
        <v>0</v>
      </c>
      <c r="N27" s="4" t="b">
        <f>IF($E27="Disque ",IF($D27="BeF",VLOOKUP($J27,BeF_Concours!$G$3:$J$52,4,TRUE),FALSE))</f>
        <v>0</v>
      </c>
      <c r="O27" s="3" t="b">
        <f>IF($E27="Marteau ",IF($D27="BeF",VLOOKUP($J27,BeF_Concours!$H$3:$J$52,3,"VRAI"),FALSE))</f>
        <v>0</v>
      </c>
      <c r="P27" s="4" t="b">
        <f>IF($E27="Poids ",IF($D27="BeM",VLOOKUP($J27,BeM_Concours!F$3:J$52,5,TRUE),TRUE))</f>
        <v>0</v>
      </c>
      <c r="Q27" s="4" t="b">
        <f>IF($E27="Javelot ",IF($D27="BeM",VLOOKUP($J27,BeM_Concours!$I$3:$J$52,2,TRUE),FALSE))</f>
        <v>0</v>
      </c>
      <c r="R27" s="4" t="b">
        <f>IF($E27="Disque ",IF($D27="BeM",VLOOKUP($J27,BeM_Concours!$G$3:$J$52,4,TRUE),FALSE))</f>
        <v>0</v>
      </c>
      <c r="S27" s="4" t="b">
        <f>IF($E27="Marteau ",IF($D27="BeM",VLOOKUP($J27,BeM_Concours!$H$3:$J$52,3,"VRAI"),FALSE))</f>
        <v>0</v>
      </c>
      <c r="T27" s="4" t="b">
        <f>IF($E27="Poids ",IF($D27="MiF",VLOOKUP($J27,MiF_Concours!$F$3:$J$52,5,TRUE),FALSE))</f>
        <v>0</v>
      </c>
      <c r="U27" s="4" t="b">
        <f>IF($E27="Javelot ",IF($D27="MiF",VLOOKUP($J27,MiF_Concours!$I$3:$J$52,2,TRUE),FALSE))</f>
        <v>0</v>
      </c>
      <c r="V27" s="4" t="b">
        <f>IF($E27="Disque ",IF($D27="MiF",VLOOKUP($J27,MiF_Concours!$G$3:$J$52,4,TRUE),FALSE))</f>
        <v>0</v>
      </c>
      <c r="W27" s="4" t="b">
        <f>IF($E27="Marteau ",IF($D27="MiF",VLOOKUP($J27,MiF_Concours!$H$3:$J$52,3,"VRAI"),FALSE))</f>
        <v>0</v>
      </c>
      <c r="X27" s="4" t="b">
        <f>IF($E27="Poids ",IF($D27="MiM",VLOOKUP($J27,MiM_Concours!$F$3:$J$52,5,TRUE),FALSE))</f>
        <v>0</v>
      </c>
      <c r="Y27" s="4" t="b">
        <f>IF($E27="Javelot ",IF($D27="MiM",VLOOKUP($J27,MiM_Concours!$I$3:$J$52,2,TRUE),FALSE))</f>
        <v>0</v>
      </c>
      <c r="Z27" s="4" t="b">
        <f>IF($E27="Disque ",IF($D27="MiM",VLOOKUP($J27,MiM_Concours!$G$3:$J$52,4,TRUE),FALSE))</f>
        <v>0</v>
      </c>
      <c r="AA27" s="4" t="b">
        <f>IF($E27="Marteau ",IF($D27="MiM",VLOOKUP($J27,MiM_Concours!$H$3:$J$52,3,"VRAI"),FALSE))</f>
        <v>0</v>
      </c>
      <c r="AB27" s="11"/>
    </row>
    <row r="28" spans="1:28" ht="15">
      <c r="A28" s="60"/>
      <c r="B28" s="46"/>
      <c r="C28" s="70"/>
      <c r="D28" s="36" t="s">
        <v>52</v>
      </c>
      <c r="E28" s="37"/>
      <c r="F28" s="80"/>
      <c r="G28" s="48"/>
      <c r="H28" s="48"/>
      <c r="I28" s="48"/>
      <c r="J28" s="151">
        <f t="shared" si="0"/>
        <v>0</v>
      </c>
      <c r="K28" s="152">
        <f t="shared" si="1"/>
        <v>0</v>
      </c>
      <c r="L28" s="25" t="b">
        <f>IF($E28="Poids ",IF($D28="BeF",VLOOKUP($J28,BeF_Concours!$F$3:$J$52,5,TRUE),FALSE))</f>
        <v>0</v>
      </c>
      <c r="M28" s="4" t="b">
        <f>IF($E28="Javelot ",IF($D28="BeF",VLOOKUP($J28,BeF_Concours!$I$3:$J$52,2,TRUE),FALSE))</f>
        <v>0</v>
      </c>
      <c r="N28" s="4" t="b">
        <f>IF($E28="Disque ",IF($D28="BeF",VLOOKUP($J28,BeF_Concours!$G$3:$J$52,4,TRUE),FALSE))</f>
        <v>0</v>
      </c>
      <c r="O28" s="3" t="b">
        <f>IF($E28="Marteau ",IF($D28="BeF",VLOOKUP($J28,BeF_Concours!$H$3:$J$52,3,"VRAI"),FALSE))</f>
        <v>0</v>
      </c>
      <c r="P28" s="4" t="b">
        <f>IF($E28="Poids ",IF($D28="BeM",VLOOKUP($J28,BeM_Concours!F$3:J$52,5,TRUE),TRUE))</f>
        <v>0</v>
      </c>
      <c r="Q28" s="4" t="b">
        <f>IF($E28="Javelot ",IF($D28="BeM",VLOOKUP($J28,BeM_Concours!$I$3:$J$52,2,TRUE),FALSE))</f>
        <v>0</v>
      </c>
      <c r="R28" s="4" t="b">
        <f>IF($E28="Disque ",IF($D28="BeM",VLOOKUP($J28,BeM_Concours!$G$3:$J$52,4,TRUE),FALSE))</f>
        <v>0</v>
      </c>
      <c r="S28" s="4" t="b">
        <f>IF($E28="Marteau ",IF($D28="BeM",VLOOKUP($J28,BeM_Concours!$H$3:$J$52,3,"VRAI"),FALSE))</f>
        <v>0</v>
      </c>
      <c r="T28" s="4" t="b">
        <f>IF($E28="Poids ",IF($D28="MiF",VLOOKUP($J28,MiF_Concours!$F$3:$J$52,5,TRUE),FALSE))</f>
        <v>0</v>
      </c>
      <c r="U28" s="4" t="b">
        <f>IF($E28="Javelot ",IF($D28="MiF",VLOOKUP($J28,MiF_Concours!$I$3:$J$52,2,TRUE),FALSE))</f>
        <v>0</v>
      </c>
      <c r="V28" s="4" t="b">
        <f>IF($E28="Disque ",IF($D28="MiF",VLOOKUP($J28,MiF_Concours!$G$3:$J$52,4,TRUE),FALSE))</f>
        <v>0</v>
      </c>
      <c r="W28" s="4" t="b">
        <f>IF($E28="Marteau ",IF($D28="MiF",VLOOKUP($J28,MiF_Concours!$H$3:$J$52,3,"VRAI"),FALSE))</f>
        <v>0</v>
      </c>
      <c r="X28" s="4" t="b">
        <f>IF($E28="Poids ",IF($D28="MiM",VLOOKUP($J28,MiM_Concours!$F$3:$J$52,5,TRUE),FALSE))</f>
        <v>0</v>
      </c>
      <c r="Y28" s="4" t="b">
        <f>IF($E28="Javelot ",IF($D28="MiM",VLOOKUP($J28,MiM_Concours!$I$3:$J$52,2,TRUE),FALSE))</f>
        <v>0</v>
      </c>
      <c r="Z28" s="4" t="b">
        <f>IF($E28="Disque ",IF($D28="MiM",VLOOKUP($J28,MiM_Concours!$G$3:$J$52,4,TRUE),FALSE))</f>
        <v>0</v>
      </c>
      <c r="AA28" s="4" t="b">
        <f>IF($E28="Marteau ",IF($D28="MiM",VLOOKUP($J28,MiM_Concours!$H$3:$J$52,3,"VRAI"),FALSE))</f>
        <v>0</v>
      </c>
      <c r="AB28" s="11"/>
    </row>
    <row r="29" spans="1:28" ht="15">
      <c r="A29" s="60"/>
      <c r="B29" s="46"/>
      <c r="C29" s="70"/>
      <c r="D29" s="36" t="s">
        <v>52</v>
      </c>
      <c r="E29" s="37"/>
      <c r="F29" s="80"/>
      <c r="G29" s="48"/>
      <c r="H29" s="48"/>
      <c r="I29" s="48"/>
      <c r="J29" s="151">
        <f t="shared" si="0"/>
        <v>0</v>
      </c>
      <c r="K29" s="152">
        <f t="shared" si="1"/>
        <v>0</v>
      </c>
      <c r="L29" s="25" t="b">
        <f>IF($E29="Poids ",IF($D29="BeF",VLOOKUP($J29,BeF_Concours!$F$3:$J$52,5,TRUE),FALSE))</f>
        <v>0</v>
      </c>
      <c r="M29" s="4" t="b">
        <f>IF($E29="Javelot ",IF($D29="BeF",VLOOKUP($J29,BeF_Concours!$I$3:$J$52,2,TRUE),FALSE))</f>
        <v>0</v>
      </c>
      <c r="N29" s="4" t="b">
        <f>IF($E29="Disque ",IF($D29="BeF",VLOOKUP($J29,BeF_Concours!$G$3:$J$52,4,TRUE),FALSE))</f>
        <v>0</v>
      </c>
      <c r="O29" s="3" t="b">
        <f>IF($E29="Marteau ",IF($D29="BeF",VLOOKUP($J29,BeF_Concours!$H$3:$J$52,3,"VRAI"),FALSE))</f>
        <v>0</v>
      </c>
      <c r="P29" s="4" t="b">
        <f>IF($E29="Poids ",IF($D29="BeM",VLOOKUP($J29,BeM_Concours!F$3:J$52,5,TRUE),TRUE))</f>
        <v>0</v>
      </c>
      <c r="Q29" s="4" t="b">
        <f>IF($E29="Javelot ",IF($D29="BeM",VLOOKUP($J29,BeM_Concours!$I$3:$J$52,2,TRUE),FALSE))</f>
        <v>0</v>
      </c>
      <c r="R29" s="4" t="b">
        <f>IF($E29="Disque ",IF($D29="BeM",VLOOKUP($J29,BeM_Concours!$G$3:$J$52,4,TRUE),FALSE))</f>
        <v>0</v>
      </c>
      <c r="S29" s="4" t="b">
        <f>IF($E29="Marteau ",IF($D29="BeM",VLOOKUP($J29,BeM_Concours!$H$3:$J$52,3,"VRAI"),FALSE))</f>
        <v>0</v>
      </c>
      <c r="T29" s="4" t="b">
        <f>IF($E29="Poids ",IF($D29="MiF",VLOOKUP($J29,MiF_Concours!$F$3:$J$52,5,TRUE),FALSE))</f>
        <v>0</v>
      </c>
      <c r="U29" s="4" t="b">
        <f>IF($E29="Javelot ",IF($D29="MiF",VLOOKUP($J29,MiF_Concours!$I$3:$J$52,2,TRUE),FALSE))</f>
        <v>0</v>
      </c>
      <c r="V29" s="4" t="b">
        <f>IF($E29="Disque ",IF($D29="MiF",VLOOKUP($J29,MiF_Concours!$G$3:$J$52,4,TRUE),FALSE))</f>
        <v>0</v>
      </c>
      <c r="W29" s="4" t="b">
        <f>IF($E29="Marteau ",IF($D29="MiF",VLOOKUP($J29,MiF_Concours!$H$3:$J$52,3,"VRAI"),FALSE))</f>
        <v>0</v>
      </c>
      <c r="X29" s="4" t="b">
        <f>IF($E29="Poids ",IF($D29="MiM",VLOOKUP($J29,MiM_Concours!$F$3:$J$52,5,TRUE),FALSE))</f>
        <v>0</v>
      </c>
      <c r="Y29" s="4" t="b">
        <f>IF($E29="Javelot ",IF($D29="MiM",VLOOKUP($J29,MiM_Concours!$I$3:$J$52,2,TRUE),FALSE))</f>
        <v>0</v>
      </c>
      <c r="Z29" s="4" t="b">
        <f>IF($E29="Disque ",IF($D29="MiM",VLOOKUP($J29,MiM_Concours!$G$3:$J$52,4,TRUE),FALSE))</f>
        <v>0</v>
      </c>
      <c r="AA29" s="4" t="b">
        <f>IF($E29="Marteau ",IF($D29="MiM",VLOOKUP($J29,MiM_Concours!$H$3:$J$52,3,"VRAI"),FALSE))</f>
        <v>0</v>
      </c>
      <c r="AB29" s="11"/>
    </row>
    <row r="30" spans="1:28" ht="15">
      <c r="A30" s="60"/>
      <c r="B30" s="46"/>
      <c r="C30" s="70"/>
      <c r="D30" s="36" t="s">
        <v>52</v>
      </c>
      <c r="E30" s="37"/>
      <c r="F30" s="80"/>
      <c r="G30" s="48"/>
      <c r="H30" s="48"/>
      <c r="I30" s="48"/>
      <c r="J30" s="151">
        <f t="shared" si="0"/>
        <v>0</v>
      </c>
      <c r="K30" s="152">
        <f t="shared" si="1"/>
        <v>0</v>
      </c>
      <c r="L30" s="25" t="b">
        <f>IF($E30="Poids ",IF($D30="BeF",VLOOKUP($J30,BeF_Concours!$F$3:$J$52,5,TRUE),FALSE))</f>
        <v>0</v>
      </c>
      <c r="M30" s="4" t="b">
        <f>IF($E30="Javelot ",IF($D30="BeF",VLOOKUP($J30,BeF_Concours!$I$3:$J$52,2,TRUE),FALSE))</f>
        <v>0</v>
      </c>
      <c r="N30" s="4" t="b">
        <f>IF($E30="Disque ",IF($D30="BeF",VLOOKUP($J30,BeF_Concours!$G$3:$J$52,4,TRUE),FALSE))</f>
        <v>0</v>
      </c>
      <c r="O30" s="3" t="b">
        <f>IF($E30="Marteau ",IF($D30="BeF",VLOOKUP($J30,BeF_Concours!$H$3:$J$52,3,"VRAI"),FALSE))</f>
        <v>0</v>
      </c>
      <c r="P30" s="4" t="b">
        <f>IF($E30="Poids ",IF($D30="BeM",VLOOKUP($J30,BeM_Concours!F$3:J$52,5,TRUE),TRUE))</f>
        <v>0</v>
      </c>
      <c r="Q30" s="4" t="b">
        <f>IF($E30="Javelot ",IF($D30="BeM",VLOOKUP($J30,BeM_Concours!$I$3:$J$52,2,TRUE),FALSE))</f>
        <v>0</v>
      </c>
      <c r="R30" s="4" t="b">
        <f>IF($E30="Disque ",IF($D30="BeM",VLOOKUP($J30,BeM_Concours!$G$3:$J$52,4,TRUE),FALSE))</f>
        <v>0</v>
      </c>
      <c r="S30" s="4" t="b">
        <f>IF($E30="Marteau ",IF($D30="BeM",VLOOKUP($J30,BeM_Concours!$H$3:$J$52,3,"VRAI"),FALSE))</f>
        <v>0</v>
      </c>
      <c r="T30" s="4" t="b">
        <f>IF($E30="Poids ",IF($D30="MiF",VLOOKUP($J30,MiF_Concours!$F$3:$J$52,5,TRUE),FALSE))</f>
        <v>0</v>
      </c>
      <c r="U30" s="4" t="b">
        <f>IF($E30="Javelot ",IF($D30="MiF",VLOOKUP($J30,MiF_Concours!$I$3:$J$52,2,TRUE),FALSE))</f>
        <v>0</v>
      </c>
      <c r="V30" s="4" t="b">
        <f>IF($E30="Disque ",IF($D30="MiF",VLOOKUP($J30,MiF_Concours!$G$3:$J$52,4,TRUE),FALSE))</f>
        <v>0</v>
      </c>
      <c r="W30" s="4" t="b">
        <f>IF($E30="Marteau ",IF($D30="MiF",VLOOKUP($J30,MiF_Concours!$H$3:$J$52,3,"VRAI"),FALSE))</f>
        <v>0</v>
      </c>
      <c r="X30" s="4" t="b">
        <f>IF($E30="Poids ",IF($D30="MiM",VLOOKUP($J30,MiM_Concours!$F$3:$J$52,5,TRUE),FALSE))</f>
        <v>0</v>
      </c>
      <c r="Y30" s="4" t="b">
        <f>IF($E30="Javelot ",IF($D30="MiM",VLOOKUP($J30,MiM_Concours!$I$3:$J$52,2,TRUE),FALSE))</f>
        <v>0</v>
      </c>
      <c r="Z30" s="4" t="b">
        <f>IF($E30="Disque ",IF($D30="MiM",VLOOKUP($J30,MiM_Concours!$G$3:$J$52,4,TRUE),FALSE))</f>
        <v>0</v>
      </c>
      <c r="AA30" s="4" t="b">
        <f>IF($E30="Marteau ",IF($D30="MiM",VLOOKUP($J30,MiM_Concours!$H$3:$J$52,3,"VRAI"),FALSE))</f>
        <v>0</v>
      </c>
      <c r="AB30" s="11"/>
    </row>
    <row r="31" spans="1:28" ht="15">
      <c r="A31" s="60"/>
      <c r="B31" s="46"/>
      <c r="C31" s="70"/>
      <c r="D31" s="36" t="s">
        <v>52</v>
      </c>
      <c r="E31" s="37"/>
      <c r="F31" s="80"/>
      <c r="G31" s="48"/>
      <c r="H31" s="48"/>
      <c r="I31" s="48"/>
      <c r="J31" s="151">
        <f t="shared" si="0"/>
        <v>0</v>
      </c>
      <c r="K31" s="152">
        <f t="shared" si="1"/>
        <v>0</v>
      </c>
      <c r="L31" s="25" t="b">
        <f>IF($E31="Poids ",IF($D31="BeF",VLOOKUP($J31,BeF_Concours!$F$3:$J$52,5,TRUE),FALSE))</f>
        <v>0</v>
      </c>
      <c r="M31" s="4" t="b">
        <f>IF($E31="Javelot ",IF($D31="BeF",VLOOKUP($J31,BeF_Concours!$I$3:$J$52,2,TRUE),FALSE))</f>
        <v>0</v>
      </c>
      <c r="N31" s="4" t="b">
        <f>IF($E31="Disque ",IF($D31="BeF",VLOOKUP($J31,BeF_Concours!$G$3:$J$52,4,TRUE),FALSE))</f>
        <v>0</v>
      </c>
      <c r="O31" s="3" t="b">
        <f>IF($E31="Marteau ",IF($D31="BeF",VLOOKUP($J31,BeF_Concours!$H$3:$J$52,3,"VRAI"),FALSE))</f>
        <v>0</v>
      </c>
      <c r="P31" s="4" t="b">
        <f>IF($E31="Poids ",IF($D31="BeM",VLOOKUP($J31,BeM_Concours!F$3:J$52,5,TRUE),TRUE))</f>
        <v>0</v>
      </c>
      <c r="Q31" s="4" t="b">
        <f>IF($E31="Javelot ",IF($D31="BeM",VLOOKUP($J31,BeM_Concours!$I$3:$J$52,2,TRUE),FALSE))</f>
        <v>0</v>
      </c>
      <c r="R31" s="4" t="b">
        <f>IF($E31="Disque ",IF($D31="BeM",VLOOKUP($J31,BeM_Concours!$G$3:$J$52,4,TRUE),FALSE))</f>
        <v>0</v>
      </c>
      <c r="S31" s="4" t="b">
        <f>IF($E31="Marteau ",IF($D31="BeM",VLOOKUP($J31,BeM_Concours!$H$3:$J$52,3,"VRAI"),FALSE))</f>
        <v>0</v>
      </c>
      <c r="T31" s="4" t="b">
        <f>IF($E31="Poids ",IF($D31="MiF",VLOOKUP($J31,MiF_Concours!$F$3:$J$52,5,TRUE),FALSE))</f>
        <v>0</v>
      </c>
      <c r="U31" s="4" t="b">
        <f>IF($E31="Javelot ",IF($D31="MiF",VLOOKUP($J31,MiF_Concours!$I$3:$J$52,2,TRUE),FALSE))</f>
        <v>0</v>
      </c>
      <c r="V31" s="4" t="b">
        <f>IF($E31="Disque ",IF($D31="MiF",VLOOKUP($J31,MiF_Concours!$G$3:$J$52,4,TRUE),FALSE))</f>
        <v>0</v>
      </c>
      <c r="W31" s="4" t="b">
        <f>IF($E31="Marteau ",IF($D31="MiF",VLOOKUP($J31,MiF_Concours!$H$3:$J$52,3,"VRAI"),FALSE))</f>
        <v>0</v>
      </c>
      <c r="X31" s="4" t="b">
        <f>IF($E31="Poids ",IF($D31="MiM",VLOOKUP($J31,MiM_Concours!$F$3:$J$52,5,TRUE),FALSE))</f>
        <v>0</v>
      </c>
      <c r="Y31" s="4" t="b">
        <f>IF($E31="Javelot ",IF($D31="MiM",VLOOKUP($J31,MiM_Concours!$I$3:$J$52,2,TRUE),FALSE))</f>
        <v>0</v>
      </c>
      <c r="Z31" s="4" t="b">
        <f>IF($E31="Disque ",IF($D31="MiM",VLOOKUP($J31,MiM_Concours!$G$3:$J$52,4,TRUE),FALSE))</f>
        <v>0</v>
      </c>
      <c r="AA31" s="4" t="b">
        <f>IF($E31="Marteau ",IF($D31="MiM",VLOOKUP($J31,MiM_Concours!$H$3:$J$52,3,"VRAI"),FALSE))</f>
        <v>0</v>
      </c>
      <c r="AB31" s="11"/>
    </row>
    <row r="32" spans="1:28" ht="15">
      <c r="A32" s="60"/>
      <c r="B32" s="46"/>
      <c r="C32" s="70"/>
      <c r="D32" s="36" t="s">
        <v>52</v>
      </c>
      <c r="E32" s="37"/>
      <c r="F32" s="80"/>
      <c r="G32" s="48"/>
      <c r="H32" s="48"/>
      <c r="I32" s="48"/>
      <c r="J32" s="151">
        <f t="shared" si="0"/>
        <v>0</v>
      </c>
      <c r="K32" s="152">
        <f t="shared" si="1"/>
        <v>0</v>
      </c>
      <c r="L32" s="25" t="b">
        <f>IF($E32="Poids ",IF($D32="BeF",VLOOKUP($J32,BeF_Concours!$F$3:$J$52,5,TRUE),FALSE))</f>
        <v>0</v>
      </c>
      <c r="M32" s="4" t="b">
        <f>IF($E32="Javelot ",IF($D32="BeF",VLOOKUP($J32,BeF_Concours!$I$3:$J$52,2,TRUE),FALSE))</f>
        <v>0</v>
      </c>
      <c r="N32" s="4" t="b">
        <f>IF($E32="Disque ",IF($D32="BeF",VLOOKUP($J32,BeF_Concours!$G$3:$J$52,4,TRUE),FALSE))</f>
        <v>0</v>
      </c>
      <c r="O32" s="3" t="b">
        <f>IF($E32="Marteau ",IF($D32="BeF",VLOOKUP($J32,BeF_Concours!$H$3:$J$52,3,"VRAI"),FALSE))</f>
        <v>0</v>
      </c>
      <c r="P32" s="4" t="b">
        <f>IF($E32="Poids ",IF($D32="BeM",VLOOKUP($J32,BeM_Concours!F$3:J$52,5,TRUE),TRUE))</f>
        <v>0</v>
      </c>
      <c r="Q32" s="4" t="b">
        <f>IF($E32="Javelot ",IF($D32="BeM",VLOOKUP($J32,BeM_Concours!$I$3:$J$52,2,TRUE),FALSE))</f>
        <v>0</v>
      </c>
      <c r="R32" s="4" t="b">
        <f>IF($E32="Disque ",IF($D32="BeM",VLOOKUP($J32,BeM_Concours!$G$3:$J$52,4,TRUE),FALSE))</f>
        <v>0</v>
      </c>
      <c r="S32" s="4" t="b">
        <f>IF($E32="Marteau ",IF($D32="BeM",VLOOKUP($J32,BeM_Concours!$H$3:$J$52,3,"VRAI"),FALSE))</f>
        <v>0</v>
      </c>
      <c r="T32" s="4" t="b">
        <f>IF($E32="Poids ",IF($D32="MiF",VLOOKUP($J32,MiF_Concours!$F$3:$J$52,5,TRUE),FALSE))</f>
        <v>0</v>
      </c>
      <c r="U32" s="4" t="b">
        <f>IF($E32="Javelot ",IF($D32="MiF",VLOOKUP($J32,MiF_Concours!$I$3:$J$52,2,TRUE),FALSE))</f>
        <v>0</v>
      </c>
      <c r="V32" s="4" t="b">
        <f>IF($E32="Disque ",IF($D32="MiF",VLOOKUP($J32,MiF_Concours!$G$3:$J$52,4,TRUE),FALSE))</f>
        <v>0</v>
      </c>
      <c r="W32" s="4" t="b">
        <f>IF($E32="Marteau ",IF($D32="MiF",VLOOKUP($J32,MiF_Concours!$H$3:$J$52,3,"VRAI"),FALSE))</f>
        <v>0</v>
      </c>
      <c r="X32" s="4" t="b">
        <f>IF($E32="Poids ",IF($D32="MiM",VLOOKUP($J32,MiM_Concours!$F$3:$J$52,5,TRUE),FALSE))</f>
        <v>0</v>
      </c>
      <c r="Y32" s="4" t="b">
        <f>IF($E32="Javelot ",IF($D32="MiM",VLOOKUP($J32,MiM_Concours!$I$3:$J$52,2,TRUE),FALSE))</f>
        <v>0</v>
      </c>
      <c r="Z32" s="4" t="b">
        <f>IF($E32="Disque ",IF($D32="MiM",VLOOKUP($J32,MiM_Concours!$G$3:$J$52,4,TRUE),FALSE))</f>
        <v>0</v>
      </c>
      <c r="AA32" s="4" t="b">
        <f>IF($E32="Marteau ",IF($D32="MiM",VLOOKUP($J32,MiM_Concours!$H$3:$J$52,3,"VRAI"),FALSE))</f>
        <v>0</v>
      </c>
      <c r="AB32" s="11"/>
    </row>
    <row r="33" spans="1:28" ht="15">
      <c r="A33" s="60"/>
      <c r="B33" s="46"/>
      <c r="C33" s="70"/>
      <c r="D33" s="36" t="s">
        <v>52</v>
      </c>
      <c r="E33" s="37"/>
      <c r="F33" s="80"/>
      <c r="G33" s="48"/>
      <c r="H33" s="48"/>
      <c r="I33" s="48"/>
      <c r="J33" s="151">
        <f t="shared" si="0"/>
        <v>0</v>
      </c>
      <c r="K33" s="152">
        <f t="shared" si="1"/>
        <v>0</v>
      </c>
      <c r="L33" s="25" t="b">
        <f>IF($E33="Poids ",IF($D33="BeF",VLOOKUP($J33,BeF_Concours!$F$3:$J$52,5,TRUE),FALSE))</f>
        <v>0</v>
      </c>
      <c r="M33" s="4" t="b">
        <f>IF($E33="Javelot ",IF($D33="BeF",VLOOKUP($J33,BeF_Concours!$I$3:$J$52,2,TRUE),FALSE))</f>
        <v>0</v>
      </c>
      <c r="N33" s="4" t="b">
        <f>IF($E33="Disque ",IF($D33="BeF",VLOOKUP($J33,BeF_Concours!$G$3:$J$52,4,TRUE),FALSE))</f>
        <v>0</v>
      </c>
      <c r="O33" s="3" t="b">
        <f>IF($E33="Marteau ",IF($D33="BeF",VLOOKUP($J33,BeF_Concours!$H$3:$J$52,3,"VRAI"),FALSE))</f>
        <v>0</v>
      </c>
      <c r="P33" s="4" t="b">
        <f>IF($E33="Poids ",IF($D33="BeM",VLOOKUP($J33,BeM_Concours!F$3:J$52,5,TRUE),TRUE))</f>
        <v>0</v>
      </c>
      <c r="Q33" s="4" t="b">
        <f>IF($E33="Javelot ",IF($D33="BeM",VLOOKUP($J33,BeM_Concours!$I$3:$J$52,2,TRUE),FALSE))</f>
        <v>0</v>
      </c>
      <c r="R33" s="4" t="b">
        <f>IF($E33="Disque ",IF($D33="BeM",VLOOKUP($J33,BeM_Concours!$G$3:$J$52,4,TRUE),FALSE))</f>
        <v>0</v>
      </c>
      <c r="S33" s="4" t="b">
        <f>IF($E33="Marteau ",IF($D33="BeM",VLOOKUP($J33,BeM_Concours!$H$3:$J$52,3,"VRAI"),FALSE))</f>
        <v>0</v>
      </c>
      <c r="T33" s="4" t="b">
        <f>IF($E33="Poids ",IF($D33="MiF",VLOOKUP($J33,MiF_Concours!$F$3:$J$52,5,TRUE),FALSE))</f>
        <v>0</v>
      </c>
      <c r="U33" s="4" t="b">
        <f>IF($E33="Javelot ",IF($D33="MiF",VLOOKUP($J33,MiF_Concours!$I$3:$J$52,2,TRUE),FALSE))</f>
        <v>0</v>
      </c>
      <c r="V33" s="4" t="b">
        <f>IF($E33="Disque ",IF($D33="MiF",VLOOKUP($J33,MiF_Concours!$G$3:$J$52,4,TRUE),FALSE))</f>
        <v>0</v>
      </c>
      <c r="W33" s="4" t="b">
        <f>IF($E33="Marteau ",IF($D33="MiF",VLOOKUP($J33,MiF_Concours!$H$3:$J$52,3,"VRAI"),FALSE))</f>
        <v>0</v>
      </c>
      <c r="X33" s="4" t="b">
        <f>IF($E33="Poids ",IF($D33="MiM",VLOOKUP($J33,MiM_Concours!$F$3:$J$52,5,TRUE),FALSE))</f>
        <v>0</v>
      </c>
      <c r="Y33" s="4" t="b">
        <f>IF($E33="Javelot ",IF($D33="MiM",VLOOKUP($J33,MiM_Concours!$I$3:$J$52,2,TRUE),FALSE))</f>
        <v>0</v>
      </c>
      <c r="Z33" s="4" t="b">
        <f>IF($E33="Disque ",IF($D33="MiM",VLOOKUP($J33,MiM_Concours!$G$3:$J$52,4,TRUE),FALSE))</f>
        <v>0</v>
      </c>
      <c r="AA33" s="4" t="b">
        <f>IF($E33="Marteau ",IF($D33="MiM",VLOOKUP($J33,MiM_Concours!$H$3:$J$52,3,"VRAI"),FALSE))</f>
        <v>0</v>
      </c>
      <c r="AB33" s="11"/>
    </row>
    <row r="34" spans="1:28" ht="15">
      <c r="A34" s="60"/>
      <c r="B34" s="46"/>
      <c r="C34" s="70"/>
      <c r="D34" s="36" t="s">
        <v>52</v>
      </c>
      <c r="E34" s="37"/>
      <c r="F34" s="80"/>
      <c r="G34" s="48"/>
      <c r="H34" s="48"/>
      <c r="I34" s="48"/>
      <c r="J34" s="151">
        <f t="shared" si="0"/>
        <v>0</v>
      </c>
      <c r="K34" s="152">
        <f t="shared" si="1"/>
        <v>0</v>
      </c>
      <c r="L34" s="25" t="b">
        <f>IF($E34="Poids ",IF($D34="BeF",VLOOKUP($J34,BeF_Concours!$F$3:$J$52,5,TRUE),FALSE))</f>
        <v>0</v>
      </c>
      <c r="M34" s="4" t="b">
        <f>IF($E34="Javelot ",IF($D34="BeF",VLOOKUP($J34,BeF_Concours!$I$3:$J$52,2,TRUE),FALSE))</f>
        <v>0</v>
      </c>
      <c r="N34" s="4" t="b">
        <f>IF($E34="Disque ",IF($D34="BeF",VLOOKUP($J34,BeF_Concours!$G$3:$J$52,4,TRUE),FALSE))</f>
        <v>0</v>
      </c>
      <c r="O34" s="3" t="b">
        <f>IF($E34="Marteau ",IF($D34="BeF",VLOOKUP($J34,BeF_Concours!$H$3:$J$52,3,"VRAI"),FALSE))</f>
        <v>0</v>
      </c>
      <c r="P34" s="4" t="b">
        <f>IF($E34="Poids ",IF($D34="BeM",VLOOKUP($J34,BeM_Concours!F$3:J$52,5,TRUE),TRUE))</f>
        <v>0</v>
      </c>
      <c r="Q34" s="4" t="b">
        <f>IF($E34="Javelot ",IF($D34="BeM",VLOOKUP($J34,BeM_Concours!$I$3:$J$52,2,TRUE),FALSE))</f>
        <v>0</v>
      </c>
      <c r="R34" s="4" t="b">
        <f>IF($E34="Disque ",IF($D34="BeM",VLOOKUP($J34,BeM_Concours!$G$3:$J$52,4,TRUE),FALSE))</f>
        <v>0</v>
      </c>
      <c r="S34" s="4" t="b">
        <f>IF($E34="Marteau ",IF($D34="BeM",VLOOKUP($J34,BeM_Concours!$H$3:$J$52,3,"VRAI"),FALSE))</f>
        <v>0</v>
      </c>
      <c r="T34" s="4" t="b">
        <f>IF($E34="Poids ",IF($D34="MiF",VLOOKUP($J34,MiF_Concours!$F$3:$J$52,5,TRUE),FALSE))</f>
        <v>0</v>
      </c>
      <c r="U34" s="4" t="b">
        <f>IF($E34="Javelot ",IF($D34="MiF",VLOOKUP($J34,MiF_Concours!$I$3:$J$52,2,TRUE),FALSE))</f>
        <v>0</v>
      </c>
      <c r="V34" s="4" t="b">
        <f>IF($E34="Disque ",IF($D34="MiF",VLOOKUP($J34,MiF_Concours!$G$3:$J$52,4,TRUE),FALSE))</f>
        <v>0</v>
      </c>
      <c r="W34" s="4" t="b">
        <f>IF($E34="Marteau ",IF($D34="MiF",VLOOKUP($J34,MiF_Concours!$H$3:$J$52,3,"VRAI"),FALSE))</f>
        <v>0</v>
      </c>
      <c r="X34" s="4" t="b">
        <f>IF($E34="Poids ",IF($D34="MiM",VLOOKUP($J34,MiM_Concours!$F$3:$J$52,5,TRUE),FALSE))</f>
        <v>0</v>
      </c>
      <c r="Y34" s="4" t="b">
        <f>IF($E34="Javelot ",IF($D34="MiM",VLOOKUP($J34,MiM_Concours!$I$3:$J$52,2,TRUE),FALSE))</f>
        <v>0</v>
      </c>
      <c r="Z34" s="4" t="b">
        <f>IF($E34="Disque ",IF($D34="MiM",VLOOKUP($J34,MiM_Concours!$G$3:$J$52,4,TRUE),FALSE))</f>
        <v>0</v>
      </c>
      <c r="AA34" s="4" t="b">
        <f>IF($E34="Marteau ",IF($D34="MiM",VLOOKUP($J34,MiM_Concours!$H$3:$J$52,3,"VRAI"),FALSE))</f>
        <v>0</v>
      </c>
      <c r="AB34" s="11"/>
    </row>
    <row r="35" spans="1:28" ht="15">
      <c r="A35" s="60"/>
      <c r="B35" s="46"/>
      <c r="C35" s="70"/>
      <c r="D35" s="36" t="s">
        <v>52</v>
      </c>
      <c r="E35" s="37"/>
      <c r="F35" s="80"/>
      <c r="G35" s="48"/>
      <c r="H35" s="48"/>
      <c r="I35" s="48"/>
      <c r="J35" s="151">
        <f t="shared" si="0"/>
        <v>0</v>
      </c>
      <c r="K35" s="152">
        <f t="shared" si="1"/>
        <v>0</v>
      </c>
      <c r="L35" s="25" t="b">
        <f>IF($E35="Poids ",IF($D35="BeF",VLOOKUP($J35,BeF_Concours!$F$3:$J$52,5,TRUE),FALSE))</f>
        <v>0</v>
      </c>
      <c r="M35" s="4" t="b">
        <f>IF($E35="Javelot ",IF($D35="BeF",VLOOKUP($J35,BeF_Concours!$I$3:$J$52,2,TRUE),FALSE))</f>
        <v>0</v>
      </c>
      <c r="N35" s="4" t="b">
        <f>IF($E35="Disque ",IF($D35="BeF",VLOOKUP($J35,BeF_Concours!$G$3:$J$52,4,TRUE),FALSE))</f>
        <v>0</v>
      </c>
      <c r="O35" s="3" t="b">
        <f>IF($E35="Marteau ",IF($D35="BeF",VLOOKUP($J35,BeF_Concours!$H$3:$J$52,3,"VRAI"),FALSE))</f>
        <v>0</v>
      </c>
      <c r="P35" s="4" t="b">
        <f>IF($E35="Poids ",IF($D35="BeM",VLOOKUP($J35,BeM_Concours!F$3:J$52,5,TRUE),TRUE))</f>
        <v>0</v>
      </c>
      <c r="Q35" s="4" t="b">
        <f>IF($E35="Javelot ",IF($D35="BeM",VLOOKUP($J35,BeM_Concours!$I$3:$J$52,2,TRUE),FALSE))</f>
        <v>0</v>
      </c>
      <c r="R35" s="4" t="b">
        <f>IF($E35="Disque ",IF($D35="BeM",VLOOKUP($J35,BeM_Concours!$G$3:$J$52,4,TRUE),FALSE))</f>
        <v>0</v>
      </c>
      <c r="S35" s="4" t="b">
        <f>IF($E35="Marteau ",IF($D35="BeM",VLOOKUP($J35,BeM_Concours!$H$3:$J$52,3,"VRAI"),FALSE))</f>
        <v>0</v>
      </c>
      <c r="T35" s="4" t="b">
        <f>IF($E35="Poids ",IF($D35="MiF",VLOOKUP($J35,MiF_Concours!$F$3:$J$52,5,TRUE),FALSE))</f>
        <v>0</v>
      </c>
      <c r="U35" s="4" t="b">
        <f>IF($E35="Javelot ",IF($D35="MiF",VLOOKUP($J35,MiF_Concours!$I$3:$J$52,2,TRUE),FALSE))</f>
        <v>0</v>
      </c>
      <c r="V35" s="4" t="b">
        <f>IF($E35="Disque ",IF($D35="MiF",VLOOKUP($J35,MiF_Concours!$G$3:$J$52,4,TRUE),FALSE))</f>
        <v>0</v>
      </c>
      <c r="W35" s="4" t="b">
        <f>IF($E35="Marteau ",IF($D35="MiF",VLOOKUP($J35,MiF_Concours!$H$3:$J$52,3,"VRAI"),FALSE))</f>
        <v>0</v>
      </c>
      <c r="X35" s="4" t="b">
        <f>IF($E35="Poids ",IF($D35="MiM",VLOOKUP($J35,MiM_Concours!$F$3:$J$52,5,TRUE),FALSE))</f>
        <v>0</v>
      </c>
      <c r="Y35" s="4" t="b">
        <f>IF($E35="Javelot ",IF($D35="MiM",VLOOKUP($J35,MiM_Concours!$I$3:$J$52,2,TRUE),FALSE))</f>
        <v>0</v>
      </c>
      <c r="Z35" s="4" t="b">
        <f>IF($E35="Disque ",IF($D35="MiM",VLOOKUP($J35,MiM_Concours!$G$3:$J$52,4,TRUE),FALSE))</f>
        <v>0</v>
      </c>
      <c r="AA35" s="4" t="b">
        <f>IF($E35="Marteau ",IF($D35="MiM",VLOOKUP($J35,MiM_Concours!$H$3:$J$52,3,"VRAI"),FALSE))</f>
        <v>0</v>
      </c>
      <c r="AB35" s="11"/>
    </row>
    <row r="36" spans="1:28" ht="15">
      <c r="A36" s="60"/>
      <c r="B36" s="46"/>
      <c r="C36" s="70"/>
      <c r="D36" s="36" t="s">
        <v>52</v>
      </c>
      <c r="E36" s="37"/>
      <c r="F36" s="80"/>
      <c r="G36" s="48"/>
      <c r="H36" s="48"/>
      <c r="I36" s="48"/>
      <c r="J36" s="151">
        <f t="shared" si="0"/>
        <v>0</v>
      </c>
      <c r="K36" s="152">
        <f t="shared" si="1"/>
        <v>0</v>
      </c>
      <c r="L36" s="25" t="b">
        <f>IF($E36="Poids ",IF($D36="BeF",VLOOKUP($J36,BeF_Concours!$F$3:$J$52,5,TRUE),FALSE))</f>
        <v>0</v>
      </c>
      <c r="M36" s="4" t="b">
        <f>IF($E36="Javelot ",IF($D36="BeF",VLOOKUP($J36,BeF_Concours!$I$3:$J$52,2,TRUE),FALSE))</f>
        <v>0</v>
      </c>
      <c r="N36" s="4" t="b">
        <f>IF($E36="Disque ",IF($D36="BeF",VLOOKUP($J36,BeF_Concours!$G$3:$J$52,4,TRUE),FALSE))</f>
        <v>0</v>
      </c>
      <c r="O36" s="3" t="b">
        <f>IF($E36="Marteau ",IF($D36="BeF",VLOOKUP($J36,BeF_Concours!$H$3:$J$52,3,"VRAI"),FALSE))</f>
        <v>0</v>
      </c>
      <c r="P36" s="4" t="b">
        <f>IF($E36="Poids ",IF($D36="BeM",VLOOKUP($J36,BeM_Concours!F$3:J$52,5,TRUE),TRUE))</f>
        <v>0</v>
      </c>
      <c r="Q36" s="4" t="b">
        <f>IF($E36="Javelot ",IF($D36="BeM",VLOOKUP($J36,BeM_Concours!$I$3:$J$52,2,TRUE),FALSE))</f>
        <v>0</v>
      </c>
      <c r="R36" s="4" t="b">
        <f>IF($E36="Disque ",IF($D36="BeM",VLOOKUP($J36,BeM_Concours!$G$3:$J$52,4,TRUE),FALSE))</f>
        <v>0</v>
      </c>
      <c r="S36" s="4" t="b">
        <f>IF($E36="Marteau ",IF($D36="BeM",VLOOKUP($J36,BeM_Concours!$H$3:$J$52,3,"VRAI"),FALSE))</f>
        <v>0</v>
      </c>
      <c r="T36" s="4" t="b">
        <f>IF($E36="Poids ",IF($D36="MiF",VLOOKUP($J36,MiF_Concours!$F$3:$J$52,5,TRUE),FALSE))</f>
        <v>0</v>
      </c>
      <c r="U36" s="4" t="b">
        <f>IF($E36="Javelot ",IF($D36="MiF",VLOOKUP($J36,MiF_Concours!$I$3:$J$52,2,TRUE),FALSE))</f>
        <v>0</v>
      </c>
      <c r="V36" s="4" t="b">
        <f>IF($E36="Disque ",IF($D36="MiF",VLOOKUP($J36,MiF_Concours!$G$3:$J$52,4,TRUE),FALSE))</f>
        <v>0</v>
      </c>
      <c r="W36" s="4" t="b">
        <f>IF($E36="Marteau ",IF($D36="MiF",VLOOKUP($J36,MiF_Concours!$H$3:$J$52,3,"VRAI"),FALSE))</f>
        <v>0</v>
      </c>
      <c r="X36" s="4" t="b">
        <f>IF($E36="Poids ",IF($D36="MiM",VLOOKUP($J36,MiM_Concours!$F$3:$J$52,5,TRUE),FALSE))</f>
        <v>0</v>
      </c>
      <c r="Y36" s="4" t="b">
        <f>IF($E36="Javelot ",IF($D36="MiM",VLOOKUP($J36,MiM_Concours!$I$3:$J$52,2,TRUE),FALSE))</f>
        <v>0</v>
      </c>
      <c r="Z36" s="4" t="b">
        <f>IF($E36="Disque ",IF($D36="MiM",VLOOKUP($J36,MiM_Concours!$G$3:$J$52,4,TRUE),FALSE))</f>
        <v>0</v>
      </c>
      <c r="AA36" s="4" t="b">
        <f>IF($E36="Marteau ",IF($D36="MiM",VLOOKUP($J36,MiM_Concours!$H$3:$J$52,3,"VRAI"),FALSE))</f>
        <v>0</v>
      </c>
      <c r="AB36" s="11"/>
    </row>
    <row r="37" spans="1:28" ht="15.75" thickBot="1">
      <c r="A37" s="62"/>
      <c r="B37" s="63"/>
      <c r="C37" s="71"/>
      <c r="D37" s="38" t="s">
        <v>55</v>
      </c>
      <c r="E37" s="39"/>
      <c r="F37" s="81"/>
      <c r="G37" s="122"/>
      <c r="H37" s="122"/>
      <c r="I37" s="122"/>
      <c r="J37" s="153">
        <f t="shared" si="0"/>
        <v>0</v>
      </c>
      <c r="K37" s="157">
        <f t="shared" si="1"/>
        <v>0</v>
      </c>
      <c r="L37" s="25" t="b">
        <f>IF($E37="Poids ",IF($D37="BeF",VLOOKUP($J37,BeF_Concours!$F$3:$J$52,5,TRUE),FALSE))</f>
        <v>0</v>
      </c>
      <c r="M37" s="4" t="b">
        <f>IF($E37="Javelot ",IF($D37="BeF",VLOOKUP($J37,BeF_Concours!$I$3:$J$52,2,TRUE),FALSE))</f>
        <v>0</v>
      </c>
      <c r="N37" s="4" t="b">
        <f>IF($E37="Disque ",IF($D37="BeF",VLOOKUP($J37,BeF_Concours!$G$3:$J$52,4,TRUE),FALSE))</f>
        <v>0</v>
      </c>
      <c r="O37" s="3" t="b">
        <f>IF($E37="Marteau ",IF($D37="BeF",VLOOKUP($J37,BeF_Concours!$H$3:$J$52,3,"VRAI"),FALSE))</f>
        <v>0</v>
      </c>
      <c r="P37" s="4" t="b">
        <f>IF($E37="Poids ",IF($D37="BeM",VLOOKUP($J37,BeM_Concours!F$3:J$52,5,TRUE),TRUE))</f>
        <v>0</v>
      </c>
      <c r="Q37" s="4" t="b">
        <f>IF($E37="Javelot ",IF($D37="BeM",VLOOKUP($J37,BeM_Concours!$I$3:$J$52,2,TRUE),FALSE))</f>
        <v>0</v>
      </c>
      <c r="R37" s="4" t="b">
        <f>IF($E37="Disque ",IF($D37="BeM",VLOOKUP($J37,BeM_Concours!$G$3:$J$52,4,TRUE),FALSE))</f>
        <v>0</v>
      </c>
      <c r="S37" s="4" t="b">
        <f>IF($E37="Marteau ",IF($D37="BeM",VLOOKUP($J37,BeM_Concours!$H$3:$J$52,3,"VRAI"),FALSE))</f>
        <v>0</v>
      </c>
      <c r="T37" s="4" t="b">
        <f>IF($E37="Poids ",IF($D37="MiF",VLOOKUP($J37,MiF_Concours!$F$3:$J$52,5,TRUE),FALSE))</f>
        <v>0</v>
      </c>
      <c r="U37" s="4" t="b">
        <f>IF($E37="Javelot ",IF($D37="MiF",VLOOKUP($J37,MiF_Concours!$I$3:$J$52,2,TRUE),FALSE))</f>
        <v>0</v>
      </c>
      <c r="V37" s="4" t="b">
        <f>IF($E37="Disque ",IF($D37="MiF",VLOOKUP($J37,MiF_Concours!$G$3:$J$52,4,TRUE),FALSE))</f>
        <v>0</v>
      </c>
      <c r="W37" s="4" t="b">
        <f>IF($E37="Marteau ",IF($D37="MiF",VLOOKUP($J37,MiF_Concours!$H$3:$J$52,3,"VRAI"),FALSE))</f>
        <v>0</v>
      </c>
      <c r="X37" s="4" t="b">
        <f>IF($E37="Poids ",IF($D37="MiM",VLOOKUP($J37,MiM_Concours!$F$3:$J$52,5,TRUE),FALSE))</f>
        <v>0</v>
      </c>
      <c r="Y37" s="4" t="b">
        <f>IF($E37="Javelot ",IF($D37="MiM",VLOOKUP($J37,MiM_Concours!$I$3:$J$52,2,TRUE),FALSE))</f>
        <v>0</v>
      </c>
      <c r="Z37" s="4" t="b">
        <f>IF($E37="Disque ",IF($D37="MiM",VLOOKUP($J37,MiM_Concours!$G$3:$J$52,4,TRUE),FALSE))</f>
        <v>0</v>
      </c>
      <c r="AA37" s="4" t="b">
        <f>IF($E37="Marteau ",IF($D37="MiM",VLOOKUP($J37,MiM_Concours!$H$3:$J$52,3,"VRAI"),FALSE))</f>
        <v>0</v>
      </c>
      <c r="AB37" s="11"/>
    </row>
  </sheetData>
  <sheetProtection password="D2F3" sheet="1" objects="1" scenarios="1" selectLockedCells="1"/>
  <mergeCells count="10">
    <mergeCell ref="A2:L2"/>
    <mergeCell ref="C3:F3"/>
    <mergeCell ref="H3:K3"/>
    <mergeCell ref="B4:B5"/>
    <mergeCell ref="C4:F5"/>
    <mergeCell ref="G4:H4"/>
    <mergeCell ref="I4:J4"/>
    <mergeCell ref="G5:H5"/>
    <mergeCell ref="I5:J5"/>
    <mergeCell ref="K4:K5"/>
  </mergeCells>
  <dataValidations count="2">
    <dataValidation type="list" allowBlank="1" showInputMessage="1" showErrorMessage="1" sqref="D7:D37">
      <formula1>$R$2:$R$5</formula1>
    </dataValidation>
    <dataValidation type="list" allowBlank="1" showInputMessage="1" showErrorMessage="1" sqref="B3 E7:E37">
      <formula1>$M$1:$M$5</formula1>
    </dataValidation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landscape" paperSize="9" scale="76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37"/>
  <sheetViews>
    <sheetView workbookViewId="0" topLeftCell="A4">
      <selection activeCell="F33" sqref="F33"/>
    </sheetView>
  </sheetViews>
  <sheetFormatPr defaultColWidth="11.421875" defaultRowHeight="15"/>
  <cols>
    <col min="1" max="3" width="18.28125" style="0" customWidth="1"/>
    <col min="4" max="5" width="18.00390625" style="2" customWidth="1"/>
    <col min="6" max="10" width="12.57421875" style="0" customWidth="1"/>
    <col min="11" max="11" width="13.8515625" style="2" bestFit="1" customWidth="1"/>
    <col min="12" max="27" width="11.421875" style="0" hidden="1" customWidth="1"/>
  </cols>
  <sheetData>
    <row r="1" spans="1:28" ht="171" customHeight="1" thickBot="1">
      <c r="A1" s="5"/>
      <c r="B1" s="6"/>
      <c r="C1" s="6"/>
      <c r="D1" s="123"/>
      <c r="E1" s="123"/>
      <c r="F1" s="6"/>
      <c r="G1" s="6"/>
      <c r="H1" s="6"/>
      <c r="I1" s="6"/>
      <c r="J1" s="6"/>
      <c r="K1" s="123"/>
      <c r="L1" s="8"/>
      <c r="AB1" s="11"/>
    </row>
    <row r="2" spans="1:28" ht="24" thickBot="1">
      <c r="A2" s="240" t="s">
        <v>323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125"/>
      <c r="M2" t="s">
        <v>109</v>
      </c>
      <c r="N2" t="s">
        <v>110</v>
      </c>
      <c r="R2" t="s">
        <v>52</v>
      </c>
      <c r="AB2" s="11"/>
    </row>
    <row r="3" spans="1:28" ht="15.75" thickBot="1">
      <c r="A3" s="21" t="s">
        <v>111</v>
      </c>
      <c r="B3" s="22"/>
      <c r="C3" s="203" t="str">
        <f>IF(B3="Poids ",N2,IF(B3="Javelot ",N3,IF(B3="Disque ",N4,IF(B3="Marteau ",N5," "))))</f>
        <v/>
      </c>
      <c r="D3" s="204"/>
      <c r="E3" s="204"/>
      <c r="F3" s="205"/>
      <c r="G3" s="23" t="s">
        <v>62</v>
      </c>
      <c r="H3" s="206"/>
      <c r="I3" s="206"/>
      <c r="J3" s="206"/>
      <c r="K3" s="207"/>
      <c r="L3" s="9"/>
      <c r="M3" t="s">
        <v>112</v>
      </c>
      <c r="N3" t="s">
        <v>113</v>
      </c>
      <c r="R3" t="s">
        <v>53</v>
      </c>
      <c r="AB3" s="11"/>
    </row>
    <row r="4" spans="1:28" ht="15">
      <c r="A4" s="115" t="s">
        <v>0</v>
      </c>
      <c r="B4" s="195" t="s">
        <v>61</v>
      </c>
      <c r="C4" s="245"/>
      <c r="D4" s="245"/>
      <c r="E4" s="246"/>
      <c r="F4" s="247"/>
      <c r="G4" s="215" t="s">
        <v>1</v>
      </c>
      <c r="H4" s="216"/>
      <c r="I4" s="217" t="s">
        <v>2</v>
      </c>
      <c r="J4" s="218"/>
      <c r="K4" s="270"/>
      <c r="L4" s="9"/>
      <c r="M4" t="s">
        <v>114</v>
      </c>
      <c r="N4" t="s">
        <v>115</v>
      </c>
      <c r="R4" t="s">
        <v>54</v>
      </c>
      <c r="AB4" s="11"/>
    </row>
    <row r="5" spans="1:28" ht="15.75" thickBot="1">
      <c r="A5" s="24"/>
      <c r="B5" s="210"/>
      <c r="C5" s="248"/>
      <c r="D5" s="248"/>
      <c r="E5" s="220"/>
      <c r="F5" s="249"/>
      <c r="G5" s="219"/>
      <c r="H5" s="220"/>
      <c r="I5" s="221"/>
      <c r="J5" s="222"/>
      <c r="K5" s="271"/>
      <c r="L5" s="9"/>
      <c r="M5" t="s">
        <v>116</v>
      </c>
      <c r="N5" t="s">
        <v>110</v>
      </c>
      <c r="R5" t="s">
        <v>55</v>
      </c>
      <c r="AB5" s="11"/>
    </row>
    <row r="6" spans="1:28" ht="30" customHeight="1" thickBot="1">
      <c r="A6" s="126" t="s">
        <v>3</v>
      </c>
      <c r="B6" s="20" t="s">
        <v>4</v>
      </c>
      <c r="C6" s="20" t="s">
        <v>5</v>
      </c>
      <c r="D6" s="20" t="s">
        <v>324</v>
      </c>
      <c r="E6" s="20" t="s">
        <v>134</v>
      </c>
      <c r="F6" s="20" t="s">
        <v>117</v>
      </c>
      <c r="G6" s="20" t="s">
        <v>118</v>
      </c>
      <c r="H6" s="20" t="s">
        <v>119</v>
      </c>
      <c r="I6" s="20" t="s">
        <v>120</v>
      </c>
      <c r="J6" s="20" t="s">
        <v>121</v>
      </c>
      <c r="K6" s="20" t="s">
        <v>6</v>
      </c>
      <c r="L6" s="9" t="s">
        <v>52</v>
      </c>
      <c r="M6" t="s">
        <v>122</v>
      </c>
      <c r="N6" t="s">
        <v>123</v>
      </c>
      <c r="O6" t="s">
        <v>124</v>
      </c>
      <c r="P6" t="s">
        <v>53</v>
      </c>
      <c r="Q6" t="s">
        <v>125</v>
      </c>
      <c r="R6" t="s">
        <v>126</v>
      </c>
      <c r="S6" t="s">
        <v>127</v>
      </c>
      <c r="T6" t="s">
        <v>54</v>
      </c>
      <c r="U6" t="s">
        <v>128</v>
      </c>
      <c r="V6" t="s">
        <v>56</v>
      </c>
      <c r="W6" t="s">
        <v>57</v>
      </c>
      <c r="X6" t="s">
        <v>55</v>
      </c>
      <c r="Y6" t="s">
        <v>58</v>
      </c>
      <c r="Z6" t="s">
        <v>59</v>
      </c>
      <c r="AA6" t="s">
        <v>60</v>
      </c>
      <c r="AB6" s="11"/>
    </row>
    <row r="7" spans="1:28" ht="15">
      <c r="A7" s="56"/>
      <c r="B7" s="57"/>
      <c r="C7" s="69"/>
      <c r="D7" s="66" t="s">
        <v>54</v>
      </c>
      <c r="E7" s="35"/>
      <c r="F7" s="72"/>
      <c r="G7" s="121"/>
      <c r="H7" s="121"/>
      <c r="I7" s="121"/>
      <c r="J7" s="58">
        <f>MAX(F7,G7,H7,I7)</f>
        <v>0</v>
      </c>
      <c r="K7" s="59">
        <f>MAX(L7,M7,N7,O7,P7,Q7,R7,S7,T7,U7,V7,W7,X7,Y7,Z7,AA7)</f>
        <v>0</v>
      </c>
      <c r="L7" s="25" t="b">
        <f>IF($E7="Poids ",IF($D7="BeF",VLOOKUP($J7,BeF_Concours!$F$3:$J$52,5,TRUE),FALSE))</f>
        <v>0</v>
      </c>
      <c r="M7" s="4" t="b">
        <f>IF($E7="Javelot ",IF($D7="BeF",VLOOKUP($J7,BeF_Concours!$I$3:$J$52,2,TRUE),FALSE))</f>
        <v>0</v>
      </c>
      <c r="N7" s="4" t="b">
        <f>IF($E7="Disque ",IF($D7="BeF",VLOOKUP($J7,BeF_Concours!$G$3:$J$52,4,TRUE),FALSE))</f>
        <v>0</v>
      </c>
      <c r="O7" s="3" t="b">
        <f>IF($E7="Marteau ",IF($D7="BeF",VLOOKUP($J7,BeF_Concours!$H$3:$J$52,3,"VRAI"),FALSE))</f>
        <v>0</v>
      </c>
      <c r="P7" s="4" t="b">
        <f>IF($E7="Poids ",IF($D7="BeM",VLOOKUP($J7,BeM_Concours!F$3:J$52,5,TRUE),TRUE))</f>
        <v>0</v>
      </c>
      <c r="Q7" s="4" t="b">
        <f>IF($E7="Javelot ",IF($D7="BeM ",VLOOKUP($J7,BeM_Concours!$I$3:$J$52,2,TRUE),FALSE))</f>
        <v>0</v>
      </c>
      <c r="R7" s="4" t="b">
        <f>IF($E7="Disque ",IF($D7="BeM",VLOOKUP($J7,BeM_Concours!$G$3:$J$52,4,TRUE),FALSE))</f>
        <v>0</v>
      </c>
      <c r="S7" s="4" t="b">
        <f>IF($E7="Marteau ",IF($D7="BeM",VLOOKUP($J7,BeM_Concours!$H$3:$J$52,3,"VRAI"),FALSE))</f>
        <v>0</v>
      </c>
      <c r="T7" s="4" t="b">
        <f>IF($E7="Poids ",IF($D7="MiF",VLOOKUP($J7,MiF_Concours!$F$3:$J$52,5,TRUE),FALSE))</f>
        <v>0</v>
      </c>
      <c r="U7" s="4" t="b">
        <f>IF($E7="Javelot ",IF($D7="MiF",VLOOKUP($J7,MiF_Concours!$I$3:$J$52,2,TRUE),FALSE))</f>
        <v>0</v>
      </c>
      <c r="V7" s="4" t="b">
        <f>IF($E7="Disque ",IF($D7="MiF",VLOOKUP($J7,MiF_Concours!$G$3:$J$52,4,TRUE),FALSE))</f>
        <v>0</v>
      </c>
      <c r="W7" s="4" t="b">
        <f>IF($E7="Marteau ",IF($D7="MiF",VLOOKUP($J7,MiF_Concours!$H$3:$J$52,3,"VRAI"),FALSE))</f>
        <v>0</v>
      </c>
      <c r="X7" s="4" t="b">
        <f>IF($E7="Poids ",IF($D7="MiM",VLOOKUP($J7,MiM_Concours!$F$3:$J$52,5,TRUE),FALSE))</f>
        <v>0</v>
      </c>
      <c r="Y7" s="4" t="b">
        <f>IF($E7="Javelot ",IF($D7="MiM",VLOOKUP($J7,MiM_Concours!$I$3:$J$52,2,TRUE),FALSE))</f>
        <v>0</v>
      </c>
      <c r="Z7" s="4" t="b">
        <f>IF($E7="Disque ",IF($D7="MiM",VLOOKUP($J7,MiM_Concours!$G$3:$J$52,4,TRUE),FALSE))</f>
        <v>0</v>
      </c>
      <c r="AA7" s="4" t="b">
        <f>IF($E7="Marteau ",IF($D7="MiM",VLOOKUP($J7,MiM_Concours!$H$3:$J$52,3,"VRAI"),FALSE))</f>
        <v>0</v>
      </c>
      <c r="AB7" s="11"/>
    </row>
    <row r="8" spans="1:28" ht="15">
      <c r="A8" s="60"/>
      <c r="B8" s="46"/>
      <c r="C8" s="70"/>
      <c r="D8" s="67" t="s">
        <v>54</v>
      </c>
      <c r="E8" s="37"/>
      <c r="F8" s="73"/>
      <c r="G8" s="48"/>
      <c r="H8" s="48"/>
      <c r="I8" s="48"/>
      <c r="J8" s="55">
        <f aca="true" t="shared" si="0" ref="J8:J37">MAX(F8,G8,H8,I8)</f>
        <v>0</v>
      </c>
      <c r="K8" s="61">
        <f aca="true" t="shared" si="1" ref="K8:K37">MAX(L8,M8,N8,O8,P8,Q8,R8,S8,T8,U8,V8,W8,X8,Y8,Z8,AA8)</f>
        <v>0</v>
      </c>
      <c r="L8" s="25" t="b">
        <f>IF($E8="Poids ",IF($D8="BeF",VLOOKUP($J8,BeF_Concours!$F$3:$J$52,5,TRUE),FALSE))</f>
        <v>0</v>
      </c>
      <c r="M8" s="4" t="b">
        <f>IF($E8="Javelot ",IF($D8="BeF",VLOOKUP($J8,BeF_Concours!$I$3:$J$52,2,TRUE),FALSE))</f>
        <v>0</v>
      </c>
      <c r="N8" s="4" t="b">
        <f>IF($E8="Disque ",IF($D8="BeF",VLOOKUP($J8,BeF_Concours!$G$3:$J$52,4,TRUE),FALSE))</f>
        <v>0</v>
      </c>
      <c r="O8" s="3" t="b">
        <f>IF($E8="Marteau ",IF($D8="BeF",VLOOKUP($J8,BeF_Concours!$H$3:$J$52,3,"VRAI"),FALSE))</f>
        <v>0</v>
      </c>
      <c r="P8" s="4" t="b">
        <f>IF($E8="Poids ",IF($D8="BeM",VLOOKUP($J8,BeM_Concours!F$3:J$52,5,TRUE),TRUE))</f>
        <v>0</v>
      </c>
      <c r="Q8" s="4" t="b">
        <f>IF($E8="Javelot ",IF($D8="BeM ",VLOOKUP($J8,BeM_Concours!$I$3:$J$52,2,TRUE),FALSE))</f>
        <v>0</v>
      </c>
      <c r="R8" s="4" t="b">
        <f>IF($E8="Disque ",IF($D8="BeM",VLOOKUP($J8,BeM_Concours!$G$3:$J$52,4,TRUE),FALSE))</f>
        <v>0</v>
      </c>
      <c r="S8" s="4" t="b">
        <f>IF($E8="Marteau ",IF($D8="BeM",VLOOKUP($J8,BeM_Concours!$H$3:$J$52,3,"VRAI"),FALSE))</f>
        <v>0</v>
      </c>
      <c r="T8" s="4" t="b">
        <f>IF($E8="Poids ",IF($D8="MiF",VLOOKUP($J8,MiF_Concours!$F$3:$J$52,5,TRUE),FALSE))</f>
        <v>0</v>
      </c>
      <c r="U8" s="4" t="b">
        <f>IF($E8="Javelot ",IF($D8="MiF",VLOOKUP($J8,MiF_Concours!$I$3:$J$52,2,TRUE),FALSE))</f>
        <v>0</v>
      </c>
      <c r="V8" s="4" t="b">
        <f>IF($E8="Disque ",IF($D8="MiF",VLOOKUP($J8,MiF_Concours!$G$3:$J$52,4,TRUE),FALSE))</f>
        <v>0</v>
      </c>
      <c r="W8" s="4" t="b">
        <f>IF($E8="Marteau ",IF($D8="MiF",VLOOKUP($J8,MiF_Concours!$H$3:$J$52,3,"VRAI"),FALSE))</f>
        <v>0</v>
      </c>
      <c r="X8" s="4" t="b">
        <f>IF($E8="Poids ",IF($D8="MiM",VLOOKUP($J8,MiM_Concours!$F$3:$J$52,5,TRUE),FALSE))</f>
        <v>0</v>
      </c>
      <c r="Y8" s="4" t="b">
        <f>IF($E8="Javelot ",IF($D8="MiM",VLOOKUP($J8,MiM_Concours!$I$3:$J$52,2,TRUE),FALSE))</f>
        <v>0</v>
      </c>
      <c r="Z8" s="4" t="b">
        <f>IF($E8="Disque ",IF($D8="MiM",VLOOKUP($J8,MiM_Concours!$G$3:$J$52,4,TRUE),FALSE))</f>
        <v>0</v>
      </c>
      <c r="AA8" s="4" t="b">
        <f>IF($E8="Marteau ",IF($D8="MiM",VLOOKUP($J8,MiM_Concours!$H$3:$J$52,3,"VRAI"),FALSE))</f>
        <v>0</v>
      </c>
      <c r="AB8" s="11"/>
    </row>
    <row r="9" spans="1:28" ht="15">
      <c r="A9" s="60"/>
      <c r="B9" s="46"/>
      <c r="C9" s="70"/>
      <c r="D9" s="67" t="s">
        <v>54</v>
      </c>
      <c r="E9" s="37"/>
      <c r="F9" s="73"/>
      <c r="G9" s="48"/>
      <c r="H9" s="48"/>
      <c r="I9" s="48"/>
      <c r="J9" s="55">
        <f t="shared" si="0"/>
        <v>0</v>
      </c>
      <c r="K9" s="61">
        <f t="shared" si="1"/>
        <v>0</v>
      </c>
      <c r="L9" s="25" t="b">
        <f>IF($E9="Poids ",IF($D9="BeF",VLOOKUP($J9,BeF_Concours!$F$3:$J$52,5,TRUE),FALSE))</f>
        <v>0</v>
      </c>
      <c r="M9" s="4" t="b">
        <f>IF($E9="Javelot ",IF($D9="BeF",VLOOKUP($J9,BeF_Concours!$I$3:$J$52,2,TRUE),FALSE))</f>
        <v>0</v>
      </c>
      <c r="N9" s="4" t="b">
        <f>IF($E9="Disque ",IF($D9="BeF",VLOOKUP($J9,BeF_Concours!$G$3:$J$52,4,TRUE),FALSE))</f>
        <v>0</v>
      </c>
      <c r="O9" s="3" t="b">
        <f>IF($E9="Marteau ",IF($D9="BeF",VLOOKUP($J9,BeF_Concours!$H$3:$J$52,3,"VRAI"),FALSE))</f>
        <v>0</v>
      </c>
      <c r="P9" s="4" t="b">
        <f>IF($E9="Poids ",IF($D9="BeM",VLOOKUP($J9,BeM_Concours!F$3:J$52,5,TRUE),TRUE))</f>
        <v>0</v>
      </c>
      <c r="Q9" s="4" t="b">
        <f>IF($E9="Javelot ",IF($D9="BeM ",VLOOKUP($J9,BeM_Concours!$I$3:$J$52,2,TRUE),FALSE))</f>
        <v>0</v>
      </c>
      <c r="R9" s="4" t="b">
        <f>IF($E9="Disque ",IF($D9="BeM",VLOOKUP($J9,BeM_Concours!$G$3:$J$52,4,TRUE),FALSE))</f>
        <v>0</v>
      </c>
      <c r="S9" s="4" t="b">
        <f>IF($E9="Marteau ",IF($D9="BeM",VLOOKUP($J9,BeM_Concours!$H$3:$J$52,3,"VRAI"),FALSE))</f>
        <v>0</v>
      </c>
      <c r="T9" s="4" t="b">
        <f>IF($E9="Poids ",IF($D9="MiF",VLOOKUP($J9,MiF_Concours!$F$3:$J$52,5,TRUE),FALSE))</f>
        <v>0</v>
      </c>
      <c r="U9" s="4" t="b">
        <f>IF($E9="Javelot ",IF($D9="MiF",VLOOKUP($J9,MiF_Concours!$I$3:$J$52,2,TRUE),FALSE))</f>
        <v>0</v>
      </c>
      <c r="V9" s="4" t="b">
        <f>IF($E9="Disque ",IF($D9="MiF",VLOOKUP($J9,MiF_Concours!$G$3:$J$52,4,TRUE),FALSE))</f>
        <v>0</v>
      </c>
      <c r="W9" s="4" t="b">
        <f>IF($E9="Marteau ",IF($D9="MiF",VLOOKUP($J9,MiF_Concours!$H$3:$J$52,3,"VRAI"),FALSE))</f>
        <v>0</v>
      </c>
      <c r="X9" s="4" t="b">
        <f>IF($E9="Poids ",IF($D9="MiM",VLOOKUP($J9,MiM_Concours!$F$3:$J$52,5,TRUE),FALSE))</f>
        <v>0</v>
      </c>
      <c r="Y9" s="4" t="b">
        <f>IF($E9="Javelot ",IF($D9="MiM",VLOOKUP($J9,MiM_Concours!$I$3:$J$52,2,TRUE),FALSE))</f>
        <v>0</v>
      </c>
      <c r="Z9" s="4" t="b">
        <f>IF($E9="Disque ",IF($D9="MiM",VLOOKUP($J9,MiM_Concours!$G$3:$J$52,4,TRUE),FALSE))</f>
        <v>0</v>
      </c>
      <c r="AA9" s="4" t="b">
        <f>IF($E9="Marteau ",IF($D9="MiM",VLOOKUP($J9,MiM_Concours!$H$3:$J$52,3,"VRAI"),FALSE))</f>
        <v>0</v>
      </c>
      <c r="AB9" s="11"/>
    </row>
    <row r="10" spans="1:28" ht="15">
      <c r="A10" s="60"/>
      <c r="B10" s="46"/>
      <c r="C10" s="70"/>
      <c r="D10" s="67" t="s">
        <v>54</v>
      </c>
      <c r="E10" s="37"/>
      <c r="F10" s="73"/>
      <c r="G10" s="48"/>
      <c r="H10" s="48"/>
      <c r="I10" s="48"/>
      <c r="J10" s="55">
        <f t="shared" si="0"/>
        <v>0</v>
      </c>
      <c r="K10" s="61">
        <f t="shared" si="1"/>
        <v>0</v>
      </c>
      <c r="L10" s="25" t="b">
        <f>IF($E10="Poids ",IF($D10="BeF",VLOOKUP($J10,BeF_Concours!$F$3:$J$52,5,TRUE),FALSE))</f>
        <v>0</v>
      </c>
      <c r="M10" s="4" t="b">
        <f>IF($E10="Javelot ",IF($D10="BeF",VLOOKUP($J10,BeF_Concours!$I$3:$J$52,2,TRUE),FALSE))</f>
        <v>0</v>
      </c>
      <c r="N10" s="4" t="b">
        <f>IF($E10="Disque ",IF($D10="BeF",VLOOKUP($J10,BeF_Concours!$G$3:$J$52,4,TRUE),FALSE))</f>
        <v>0</v>
      </c>
      <c r="O10" s="3" t="b">
        <f>IF($E10="Marteau ",IF($D10="BeF",VLOOKUP($J10,BeF_Concours!$H$3:$J$52,3,"VRAI"),FALSE))</f>
        <v>0</v>
      </c>
      <c r="P10" s="4" t="b">
        <f>IF($E10="Poids ",IF($D10="BeM",VLOOKUP($J10,BeM_Concours!F$3:J$52,5,TRUE),TRUE))</f>
        <v>0</v>
      </c>
      <c r="Q10" s="4" t="b">
        <f>IF($E10="Javelot ",IF($D10="BeM ",VLOOKUP($J10,BeM_Concours!$I$3:$J$52,2,TRUE),FALSE))</f>
        <v>0</v>
      </c>
      <c r="R10" s="4" t="b">
        <f>IF($E10="Disque ",IF($D10="BeM",VLOOKUP($J10,BeM_Concours!$G$3:$J$52,4,TRUE),FALSE))</f>
        <v>0</v>
      </c>
      <c r="S10" s="4" t="b">
        <f>IF($E10="Marteau ",IF($D10="BeM",VLOOKUP($J10,BeM_Concours!$H$3:$J$52,3,"VRAI"),FALSE))</f>
        <v>0</v>
      </c>
      <c r="T10" s="4" t="b">
        <f>IF($E10="Poids ",IF($D10="MiF",VLOOKUP($J10,MiF_Concours!$F$3:$J$52,5,TRUE),FALSE))</f>
        <v>0</v>
      </c>
      <c r="U10" s="4" t="b">
        <f>IF($E10="Javelot ",IF($D10="MiF",VLOOKUP($J10,MiF_Concours!$I$3:$J$52,2,TRUE),FALSE))</f>
        <v>0</v>
      </c>
      <c r="V10" s="4" t="b">
        <f>IF($E10="Disque ",IF($D10="MiF",VLOOKUP($J10,MiF_Concours!$G$3:$J$52,4,TRUE),FALSE))</f>
        <v>0</v>
      </c>
      <c r="W10" s="4" t="b">
        <f>IF($E10="Marteau ",IF($D10="MiF",VLOOKUP($J10,MiF_Concours!$H$3:$J$52,3,"VRAI"),FALSE))</f>
        <v>0</v>
      </c>
      <c r="X10" s="4" t="b">
        <f>IF($E10="Poids ",IF($D10="MiM",VLOOKUP($J10,MiM_Concours!$F$3:$J$52,5,TRUE),FALSE))</f>
        <v>0</v>
      </c>
      <c r="Y10" s="4" t="b">
        <f>IF($E10="Javelot ",IF($D10="MiM",VLOOKUP($J10,MiM_Concours!$I$3:$J$52,2,TRUE),FALSE))</f>
        <v>0</v>
      </c>
      <c r="Z10" s="4" t="b">
        <f>IF($E10="Disque ",IF($D10="MiM",VLOOKUP($J10,MiM_Concours!$G$3:$J$52,4,TRUE),FALSE))</f>
        <v>0</v>
      </c>
      <c r="AA10" s="4" t="b">
        <f>IF($E10="Marteau ",IF($D10="MiM",VLOOKUP($J10,MiM_Concours!$H$3:$J$52,3,"VRAI"),FALSE))</f>
        <v>0</v>
      </c>
      <c r="AB10" s="11"/>
    </row>
    <row r="11" spans="1:28" ht="15">
      <c r="A11" s="60"/>
      <c r="B11" s="46"/>
      <c r="C11" s="70"/>
      <c r="D11" s="67" t="s">
        <v>54</v>
      </c>
      <c r="E11" s="37"/>
      <c r="F11" s="73"/>
      <c r="G11" s="48"/>
      <c r="H11" s="48"/>
      <c r="I11" s="48"/>
      <c r="J11" s="55">
        <f t="shared" si="0"/>
        <v>0</v>
      </c>
      <c r="K11" s="61">
        <f t="shared" si="1"/>
        <v>0</v>
      </c>
      <c r="L11" s="25" t="b">
        <f>IF($E11="Poids ",IF($D11="BeF",VLOOKUP($J11,BeF_Concours!$F$3:$J$52,5,TRUE),FALSE))</f>
        <v>0</v>
      </c>
      <c r="M11" s="4" t="b">
        <f>IF($E11="Javelot ",IF($D11="BeF",VLOOKUP($J11,BeF_Concours!$I$3:$J$52,2,TRUE),FALSE))</f>
        <v>0</v>
      </c>
      <c r="N11" s="4" t="b">
        <f>IF($E11="Disque ",IF($D11="BeF",VLOOKUP($J11,BeF_Concours!$G$3:$J$52,4,TRUE),FALSE))</f>
        <v>0</v>
      </c>
      <c r="O11" s="3" t="b">
        <f>IF($E11="Marteau ",IF($D11="BeF",VLOOKUP($J11,BeF_Concours!$H$3:$J$52,3,"VRAI"),FALSE))</f>
        <v>0</v>
      </c>
      <c r="P11" s="4" t="b">
        <f>IF($E11="Poids ",IF($D11="BeM",VLOOKUP($J11,BeM_Concours!F$3:J$52,5,TRUE),TRUE))</f>
        <v>0</v>
      </c>
      <c r="Q11" s="4" t="b">
        <f>IF($E11="Javelot ",IF($D11="BeM ",VLOOKUP($J11,BeM_Concours!$I$3:$J$52,2,TRUE),FALSE))</f>
        <v>0</v>
      </c>
      <c r="R11" s="4" t="b">
        <f>IF($E11="Disque ",IF($D11="BeM",VLOOKUP($J11,BeM_Concours!$G$3:$J$52,4,TRUE),FALSE))</f>
        <v>0</v>
      </c>
      <c r="S11" s="4" t="b">
        <f>IF($E11="Marteau ",IF($D11="BeM",VLOOKUP($J11,BeM_Concours!$H$3:$J$52,3,"VRAI"),FALSE))</f>
        <v>0</v>
      </c>
      <c r="T11" s="4" t="b">
        <f>IF($E11="Poids ",IF($D11="MiF",VLOOKUP($J11,MiF_Concours!$F$3:$J$52,5,TRUE),FALSE))</f>
        <v>0</v>
      </c>
      <c r="U11" s="4" t="b">
        <f>IF($E11="Javelot ",IF($D11="MiF",VLOOKUP($J11,MiF_Concours!$I$3:$J$52,2,TRUE),FALSE))</f>
        <v>0</v>
      </c>
      <c r="V11" s="4" t="b">
        <f>IF($E11="Disque ",IF($D11="MiF",VLOOKUP($J11,MiF_Concours!$G$3:$J$52,4,TRUE),FALSE))</f>
        <v>0</v>
      </c>
      <c r="W11" s="4" t="b">
        <f>IF($E11="Marteau ",IF($D11="MiF",VLOOKUP($J11,MiF_Concours!$H$3:$J$52,3,"VRAI"),FALSE))</f>
        <v>0</v>
      </c>
      <c r="X11" s="4" t="b">
        <f>IF($E11="Poids ",IF($D11="MiM",VLOOKUP($J11,MiM_Concours!$F$3:$J$52,5,TRUE),FALSE))</f>
        <v>0</v>
      </c>
      <c r="Y11" s="4" t="b">
        <f>IF($E11="Javelot ",IF($D11="MiM",VLOOKUP($J11,MiM_Concours!$I$3:$J$52,2,TRUE),FALSE))</f>
        <v>0</v>
      </c>
      <c r="Z11" s="4" t="b">
        <f>IF($E11="Disque ",IF($D11="MiM",VLOOKUP($J11,MiM_Concours!$G$3:$J$52,4,TRUE),FALSE))</f>
        <v>0</v>
      </c>
      <c r="AA11" s="4" t="b">
        <f>IF($E11="Marteau ",IF($D11="MiM",VLOOKUP($J11,MiM_Concours!$H$3:$J$52,3,"VRAI"),FALSE))</f>
        <v>0</v>
      </c>
      <c r="AB11" s="11"/>
    </row>
    <row r="12" spans="1:28" ht="15">
      <c r="A12" s="60"/>
      <c r="B12" s="46"/>
      <c r="C12" s="70"/>
      <c r="D12" s="67" t="s">
        <v>54</v>
      </c>
      <c r="E12" s="37"/>
      <c r="F12" s="73"/>
      <c r="G12" s="48"/>
      <c r="H12" s="48"/>
      <c r="I12" s="48"/>
      <c r="J12" s="55">
        <f t="shared" si="0"/>
        <v>0</v>
      </c>
      <c r="K12" s="61">
        <f t="shared" si="1"/>
        <v>0</v>
      </c>
      <c r="L12" s="25" t="b">
        <f>IF($E12="Poids ",IF($D12="BeF",VLOOKUP($J12,BeF_Concours!$F$3:$J$52,5,TRUE),FALSE))</f>
        <v>0</v>
      </c>
      <c r="M12" s="4" t="b">
        <f>IF($E12="Javelot ",IF($D12="BeF",VLOOKUP($J12,BeF_Concours!$I$3:$J$52,2,TRUE),FALSE))</f>
        <v>0</v>
      </c>
      <c r="N12" s="4" t="b">
        <f>IF($E12="Disque ",IF($D12="BeF",VLOOKUP($J12,BeF_Concours!$G$3:$J$52,4,TRUE),FALSE))</f>
        <v>0</v>
      </c>
      <c r="O12" s="3" t="b">
        <f>IF($E12="Marteau ",IF($D12="BeF",VLOOKUP($J12,BeF_Concours!$H$3:$J$52,3,"VRAI"),FALSE))</f>
        <v>0</v>
      </c>
      <c r="P12" s="4" t="b">
        <f>IF($E12="Poids ",IF($D12="BeM",VLOOKUP($J12,BeM_Concours!F$3:J$52,5,TRUE),TRUE))</f>
        <v>0</v>
      </c>
      <c r="Q12" s="4" t="b">
        <f>IF($E12="Javelot ",IF($D12="BeM ",VLOOKUP($J12,BeM_Concours!$I$3:$J$52,2,TRUE),FALSE))</f>
        <v>0</v>
      </c>
      <c r="R12" s="4" t="b">
        <f>IF($E12="Disque ",IF($D12="BeM",VLOOKUP($J12,BeM_Concours!$G$3:$J$52,4,TRUE),FALSE))</f>
        <v>0</v>
      </c>
      <c r="S12" s="4" t="b">
        <f>IF($E12="Marteau ",IF($D12="BeM",VLOOKUP($J12,BeM_Concours!$H$3:$J$52,3,"VRAI"),FALSE))</f>
        <v>0</v>
      </c>
      <c r="T12" s="4" t="b">
        <f>IF($E12="Poids ",IF($D12="MiF",VLOOKUP($J12,MiF_Concours!$F$3:$J$52,5,TRUE),FALSE))</f>
        <v>0</v>
      </c>
      <c r="U12" s="4" t="b">
        <f>IF($E12="Javelot ",IF($D12="MiF",VLOOKUP($J12,MiF_Concours!$I$3:$J$52,2,TRUE),FALSE))</f>
        <v>0</v>
      </c>
      <c r="V12" s="4" t="b">
        <f>IF($E12="Disque ",IF($D12="MiF",VLOOKUP($J12,MiF_Concours!$G$3:$J$52,4,TRUE),FALSE))</f>
        <v>0</v>
      </c>
      <c r="W12" s="4" t="b">
        <f>IF($E12="Marteau ",IF($D12="MiF",VLOOKUP($J12,MiF_Concours!$H$3:$J$52,3,"VRAI"),FALSE))</f>
        <v>0</v>
      </c>
      <c r="X12" s="4" t="b">
        <f>IF($E12="Poids ",IF($D12="MiM",VLOOKUP($J12,MiM_Concours!$F$3:$J$52,5,TRUE),FALSE))</f>
        <v>0</v>
      </c>
      <c r="Y12" s="4" t="b">
        <f>IF($E12="Javelot ",IF($D12="MiM",VLOOKUP($J12,MiM_Concours!$I$3:$J$52,2,TRUE),FALSE))</f>
        <v>0</v>
      </c>
      <c r="Z12" s="4" t="b">
        <f>IF($E12="Disque ",IF($D12="MiM",VLOOKUP($J12,MiM_Concours!$G$3:$J$52,4,TRUE),FALSE))</f>
        <v>0</v>
      </c>
      <c r="AA12" s="4" t="b">
        <f>IF($E12="Marteau ",IF($D12="MiM",VLOOKUP($J12,MiM_Concours!$H$3:$J$52,3,"VRAI"),FALSE))</f>
        <v>0</v>
      </c>
      <c r="AB12" s="11"/>
    </row>
    <row r="13" spans="1:28" ht="15">
      <c r="A13" s="60"/>
      <c r="B13" s="46"/>
      <c r="C13" s="70"/>
      <c r="D13" s="67" t="s">
        <v>54</v>
      </c>
      <c r="E13" s="37"/>
      <c r="F13" s="73"/>
      <c r="G13" s="48"/>
      <c r="H13" s="48"/>
      <c r="I13" s="48"/>
      <c r="J13" s="55">
        <f t="shared" si="0"/>
        <v>0</v>
      </c>
      <c r="K13" s="61">
        <f t="shared" si="1"/>
        <v>0</v>
      </c>
      <c r="L13" s="25" t="b">
        <f>IF($E13="Poids ",IF($D13="BeF",VLOOKUP($J13,BeF_Concours!$F$3:$J$52,5,TRUE),FALSE))</f>
        <v>0</v>
      </c>
      <c r="M13" s="4" t="b">
        <f>IF($E13="Javelot ",IF($D13="BeF",VLOOKUP($J13,BeF_Concours!$I$3:$J$52,2,TRUE),FALSE))</f>
        <v>0</v>
      </c>
      <c r="N13" s="4" t="b">
        <f>IF($E13="Disque ",IF($D13="BeF",VLOOKUP($J13,BeF_Concours!$G$3:$J$52,4,TRUE),FALSE))</f>
        <v>0</v>
      </c>
      <c r="O13" s="3" t="b">
        <f>IF($E13="Marteau ",IF($D13="BeF",VLOOKUP($J13,BeF_Concours!$H$3:$J$52,3,"VRAI"),FALSE))</f>
        <v>0</v>
      </c>
      <c r="P13" s="4" t="b">
        <f>IF($E13="Poids ",IF($D13="BeM",VLOOKUP($J13,BeM_Concours!F$3:J$52,5,TRUE),TRUE))</f>
        <v>0</v>
      </c>
      <c r="Q13" s="4" t="b">
        <f>IF($E13="Javelot ",IF($D13="BeM ",VLOOKUP($J13,BeM_Concours!$I$3:$J$52,2,TRUE),FALSE))</f>
        <v>0</v>
      </c>
      <c r="R13" s="4" t="b">
        <f>IF($E13="Disque ",IF($D13="BeM",VLOOKUP($J13,BeM_Concours!$G$3:$J$52,4,TRUE),FALSE))</f>
        <v>0</v>
      </c>
      <c r="S13" s="4" t="b">
        <f>IF($E13="Marteau ",IF($D13="BeM",VLOOKUP($J13,BeM_Concours!$H$3:$J$52,3,"VRAI"),FALSE))</f>
        <v>0</v>
      </c>
      <c r="T13" s="4" t="b">
        <f>IF($E13="Poids ",IF($D13="MiF",VLOOKUP($J13,MiF_Concours!$F$3:$J$52,5,TRUE),FALSE))</f>
        <v>0</v>
      </c>
      <c r="U13" s="4" t="b">
        <f>IF($E13="Javelot ",IF($D13="MiF",VLOOKUP($J13,MiF_Concours!$I$3:$J$52,2,TRUE),FALSE))</f>
        <v>0</v>
      </c>
      <c r="V13" s="4" t="b">
        <f>IF($E13="Disque ",IF($D13="MiF",VLOOKUP($J13,MiF_Concours!$G$3:$J$52,4,TRUE),FALSE))</f>
        <v>0</v>
      </c>
      <c r="W13" s="4" t="b">
        <f>IF($E13="Marteau ",IF($D13="MiF",VLOOKUP($J13,MiF_Concours!$H$3:$J$52,3,"VRAI"),FALSE))</f>
        <v>0</v>
      </c>
      <c r="X13" s="4" t="b">
        <f>IF($E13="Poids ",IF($D13="MiM",VLOOKUP($J13,MiM_Concours!$F$3:$J$52,5,TRUE),FALSE))</f>
        <v>0</v>
      </c>
      <c r="Y13" s="4" t="b">
        <f>IF($E13="Javelot ",IF($D13="MiM",VLOOKUP($J13,MiM_Concours!$I$3:$J$52,2,TRUE),FALSE))</f>
        <v>0</v>
      </c>
      <c r="Z13" s="4" t="b">
        <f>IF($E13="Disque ",IF($D13="MiM",VLOOKUP($J13,MiM_Concours!$G$3:$J$52,4,TRUE),FALSE))</f>
        <v>0</v>
      </c>
      <c r="AA13" s="4" t="b">
        <f>IF($E13="Marteau ",IF($D13="MiM",VLOOKUP($J13,MiM_Concours!$H$3:$J$52,3,"VRAI"),FALSE))</f>
        <v>0</v>
      </c>
      <c r="AB13" s="11"/>
    </row>
    <row r="14" spans="1:28" ht="15">
      <c r="A14" s="60"/>
      <c r="B14" s="46"/>
      <c r="C14" s="70"/>
      <c r="D14" s="67" t="s">
        <v>54</v>
      </c>
      <c r="E14" s="37"/>
      <c r="F14" s="73"/>
      <c r="G14" s="48"/>
      <c r="H14" s="48"/>
      <c r="I14" s="48"/>
      <c r="J14" s="55">
        <f t="shared" si="0"/>
        <v>0</v>
      </c>
      <c r="K14" s="61">
        <f t="shared" si="1"/>
        <v>0</v>
      </c>
      <c r="L14" s="25" t="b">
        <f>IF($E14="Poids ",IF($D14="BeF",VLOOKUP($J14,BeF_Concours!$F$3:$J$52,5,TRUE),FALSE))</f>
        <v>0</v>
      </c>
      <c r="M14" s="4" t="b">
        <f>IF($E14="Javelot ",IF($D14="BeF",VLOOKUP($J14,BeF_Concours!$I$3:$J$52,2,TRUE),FALSE))</f>
        <v>0</v>
      </c>
      <c r="N14" s="4" t="b">
        <f>IF($E14="Disque ",IF($D14="BeF",VLOOKUP($J14,BeF_Concours!$G$3:$J$52,4,TRUE),FALSE))</f>
        <v>0</v>
      </c>
      <c r="O14" s="3" t="b">
        <f>IF($E14="Marteau ",IF($D14="BeF",VLOOKUP($J14,BeF_Concours!$H$3:$J$52,3,"VRAI"),FALSE))</f>
        <v>0</v>
      </c>
      <c r="P14" s="4" t="b">
        <f>IF($E14="Poids ",IF($D14="BeM",VLOOKUP($J14,BeM_Concours!F$3:J$52,5,TRUE),TRUE))</f>
        <v>0</v>
      </c>
      <c r="Q14" s="4" t="b">
        <f>IF($E14="Javelot ",IF($D14="BeM ",VLOOKUP($J14,BeM_Concours!$I$3:$J$52,2,TRUE),FALSE))</f>
        <v>0</v>
      </c>
      <c r="R14" s="4" t="b">
        <f>IF($E14="Disque ",IF($D14="BeM",VLOOKUP($J14,BeM_Concours!$G$3:$J$52,4,TRUE),FALSE))</f>
        <v>0</v>
      </c>
      <c r="S14" s="4" t="b">
        <f>IF($E14="Marteau ",IF($D14="BeM",VLOOKUP($J14,BeM_Concours!$H$3:$J$52,3,"VRAI"),FALSE))</f>
        <v>0</v>
      </c>
      <c r="T14" s="4" t="b">
        <f>IF($E14="Poids ",IF($D14="MiF",VLOOKUP($J14,MiF_Concours!$F$3:$J$52,5,TRUE),FALSE))</f>
        <v>0</v>
      </c>
      <c r="U14" s="4" t="b">
        <f>IF($E14="Javelot ",IF($D14="MiF",VLOOKUP($J14,MiF_Concours!$I$3:$J$52,2,TRUE),FALSE))</f>
        <v>0</v>
      </c>
      <c r="V14" s="4" t="b">
        <f>IF($E14="Disque ",IF($D14="MiF",VLOOKUP($J14,MiF_Concours!$G$3:$J$52,4,TRUE),FALSE))</f>
        <v>0</v>
      </c>
      <c r="W14" s="4" t="b">
        <f>IF($E14="Marteau ",IF($D14="MiF",VLOOKUP($J14,MiF_Concours!$H$3:$J$52,3,"VRAI"),FALSE))</f>
        <v>0</v>
      </c>
      <c r="X14" s="4" t="b">
        <f>IF($E14="Poids ",IF($D14="MiM",VLOOKUP($J14,MiM_Concours!$F$3:$J$52,5,TRUE),FALSE))</f>
        <v>0</v>
      </c>
      <c r="Y14" s="4" t="b">
        <f>IF($E14="Javelot ",IF($D14="MiM",VLOOKUP($J14,MiM_Concours!$I$3:$J$52,2,TRUE),FALSE))</f>
        <v>0</v>
      </c>
      <c r="Z14" s="4" t="b">
        <f>IF($E14="Disque ",IF($D14="MiM",VLOOKUP($J14,MiM_Concours!$G$3:$J$52,4,TRUE),FALSE))</f>
        <v>0</v>
      </c>
      <c r="AA14" s="4" t="b">
        <f>IF($E14="Marteau ",IF($D14="MiM",VLOOKUP($J14,MiM_Concours!$H$3:$J$52,3,"VRAI"),FALSE))</f>
        <v>0</v>
      </c>
      <c r="AB14" s="11"/>
    </row>
    <row r="15" spans="1:28" ht="15">
      <c r="A15" s="60"/>
      <c r="B15" s="46"/>
      <c r="C15" s="70"/>
      <c r="D15" s="67" t="s">
        <v>54</v>
      </c>
      <c r="E15" s="37"/>
      <c r="F15" s="73"/>
      <c r="G15" s="48"/>
      <c r="H15" s="48"/>
      <c r="I15" s="48"/>
      <c r="J15" s="55">
        <f t="shared" si="0"/>
        <v>0</v>
      </c>
      <c r="K15" s="61">
        <f t="shared" si="1"/>
        <v>0</v>
      </c>
      <c r="L15" s="25" t="b">
        <f>IF($E15="Poids ",IF($D15="BeF",VLOOKUP($J15,BeF_Concours!$F$3:$J$52,5,TRUE),FALSE))</f>
        <v>0</v>
      </c>
      <c r="M15" s="4" t="b">
        <f>IF($E15="Javelot ",IF($D15="BeF",VLOOKUP($J15,BeF_Concours!$I$3:$J$52,2,TRUE),FALSE))</f>
        <v>0</v>
      </c>
      <c r="N15" s="4" t="b">
        <f>IF($E15="Disque ",IF($D15="BeF",VLOOKUP($J15,BeF_Concours!$G$3:$J$52,4,TRUE),FALSE))</f>
        <v>0</v>
      </c>
      <c r="O15" s="3" t="b">
        <f>IF($E15="Marteau ",IF($D15="BeF",VLOOKUP($J15,BeF_Concours!$H$3:$J$52,3,"VRAI"),FALSE))</f>
        <v>0</v>
      </c>
      <c r="P15" s="4" t="b">
        <f>IF($E15="Poids ",IF($D15="BeM",VLOOKUP($J15,BeM_Concours!F$3:J$52,5,TRUE),TRUE))</f>
        <v>0</v>
      </c>
      <c r="Q15" s="4" t="b">
        <f>IF($E15="Javelot ",IF($D15="BeM ",VLOOKUP($J15,BeM_Concours!$I$3:$J$52,2,TRUE),FALSE))</f>
        <v>0</v>
      </c>
      <c r="R15" s="4" t="b">
        <f>IF($E15="Disque ",IF($D15="BeM",VLOOKUP($J15,BeM_Concours!$G$3:$J$52,4,TRUE),FALSE))</f>
        <v>0</v>
      </c>
      <c r="S15" s="4" t="b">
        <f>IF($E15="Marteau ",IF($D15="BeM",VLOOKUP($J15,BeM_Concours!$H$3:$J$52,3,"VRAI"),FALSE))</f>
        <v>0</v>
      </c>
      <c r="T15" s="4" t="b">
        <f>IF($E15="Poids ",IF($D15="MiF",VLOOKUP($J15,MiF_Concours!$F$3:$J$52,5,TRUE),FALSE))</f>
        <v>0</v>
      </c>
      <c r="U15" s="4" t="b">
        <f>IF($E15="Javelot ",IF($D15="MiF",VLOOKUP($J15,MiF_Concours!$I$3:$J$52,2,TRUE),FALSE))</f>
        <v>0</v>
      </c>
      <c r="V15" s="4" t="b">
        <f>IF($E15="Disque ",IF($D15="MiF",VLOOKUP($J15,MiF_Concours!$G$3:$J$52,4,TRUE),FALSE))</f>
        <v>0</v>
      </c>
      <c r="W15" s="4" t="b">
        <f>IF($E15="Marteau ",IF($D15="MiF",VLOOKUP($J15,MiF_Concours!$H$3:$J$52,3,"VRAI"),FALSE))</f>
        <v>0</v>
      </c>
      <c r="X15" s="4" t="b">
        <f>IF($E15="Poids ",IF($D15="MiM",VLOOKUP($J15,MiM_Concours!$F$3:$J$52,5,TRUE),FALSE))</f>
        <v>0</v>
      </c>
      <c r="Y15" s="4" t="b">
        <f>IF($E15="Javelot ",IF($D15="MiM",VLOOKUP($J15,MiM_Concours!$I$3:$J$52,2,TRUE),FALSE))</f>
        <v>0</v>
      </c>
      <c r="Z15" s="4" t="b">
        <f>IF($E15="Disque ",IF($D15="MiM",VLOOKUP($J15,MiM_Concours!$G$3:$J$52,4,TRUE),FALSE))</f>
        <v>0</v>
      </c>
      <c r="AA15" s="4" t="b">
        <f>IF($E15="Marteau ",IF($D15="MiM",VLOOKUP($J15,MiM_Concours!$H$3:$J$52,3,"VRAI"),FALSE))</f>
        <v>0</v>
      </c>
      <c r="AB15" s="11"/>
    </row>
    <row r="16" spans="1:28" ht="15">
      <c r="A16" s="60"/>
      <c r="B16" s="46"/>
      <c r="C16" s="70"/>
      <c r="D16" s="67" t="s">
        <v>54</v>
      </c>
      <c r="E16" s="37"/>
      <c r="F16" s="73"/>
      <c r="G16" s="48"/>
      <c r="H16" s="48"/>
      <c r="I16" s="48"/>
      <c r="J16" s="55">
        <f t="shared" si="0"/>
        <v>0</v>
      </c>
      <c r="K16" s="61">
        <f t="shared" si="1"/>
        <v>0</v>
      </c>
      <c r="L16" s="25" t="b">
        <f>IF($E16="Poids ",IF($D16="BeF",VLOOKUP($J16,BeF_Concours!$F$3:$J$52,5,TRUE),FALSE))</f>
        <v>0</v>
      </c>
      <c r="M16" s="4" t="b">
        <f>IF($E16="Javelot ",IF($D16="BeF",VLOOKUP($J16,BeF_Concours!$I$3:$J$52,2,TRUE),FALSE))</f>
        <v>0</v>
      </c>
      <c r="N16" s="4" t="b">
        <f>IF($E16="Disque ",IF($D16="BeF",VLOOKUP($J16,BeF_Concours!$G$3:$J$52,4,TRUE),FALSE))</f>
        <v>0</v>
      </c>
      <c r="O16" s="3" t="b">
        <f>IF($E16="Marteau ",IF($D16="BeF",VLOOKUP($J16,BeF_Concours!$H$3:$J$52,3,"VRAI"),FALSE))</f>
        <v>0</v>
      </c>
      <c r="P16" s="4" t="b">
        <f>IF($E16="Poids ",IF($D16="BeM",VLOOKUP($J16,BeM_Concours!F$3:J$52,5,TRUE),TRUE))</f>
        <v>0</v>
      </c>
      <c r="Q16" s="4" t="b">
        <f>IF($E16="Javelot ",IF($D16="BeM ",VLOOKUP($J16,BeM_Concours!$I$3:$J$52,2,TRUE),FALSE))</f>
        <v>0</v>
      </c>
      <c r="R16" s="4" t="b">
        <f>IF($E16="Disque ",IF($D16="BeM",VLOOKUP($J16,BeM_Concours!$G$3:$J$52,4,TRUE),FALSE))</f>
        <v>0</v>
      </c>
      <c r="S16" s="4" t="b">
        <f>IF($E16="Marteau ",IF($D16="BeM",VLOOKUP($J16,BeM_Concours!$H$3:$J$52,3,"VRAI"),FALSE))</f>
        <v>0</v>
      </c>
      <c r="T16" s="4" t="b">
        <f>IF($E16="Poids ",IF($D16="MiF",VLOOKUP($J16,MiF_Concours!$F$3:$J$52,5,TRUE),FALSE))</f>
        <v>0</v>
      </c>
      <c r="U16" s="4" t="b">
        <f>IF($E16="Javelot ",IF($D16="MiF",VLOOKUP($J16,MiF_Concours!$I$3:$J$52,2,TRUE),FALSE))</f>
        <v>0</v>
      </c>
      <c r="V16" s="4" t="b">
        <f>IF($E16="Disque ",IF($D16="MiF",VLOOKUP($J16,MiF_Concours!$G$3:$J$52,4,TRUE),FALSE))</f>
        <v>0</v>
      </c>
      <c r="W16" s="4" t="b">
        <f>IF($E16="Marteau ",IF($D16="MiF",VLOOKUP($J16,MiF_Concours!$H$3:$J$52,3,"VRAI"),FALSE))</f>
        <v>0</v>
      </c>
      <c r="X16" s="4" t="b">
        <f>IF($E16="Poids ",IF($D16="MiM",VLOOKUP($J16,MiM_Concours!$F$3:$J$52,5,TRUE),FALSE))</f>
        <v>0</v>
      </c>
      <c r="Y16" s="4" t="b">
        <f>IF($E16="Javelot ",IF($D16="MiM",VLOOKUP($J16,MiM_Concours!$I$3:$J$52,2,TRUE),FALSE))</f>
        <v>0</v>
      </c>
      <c r="Z16" s="4" t="b">
        <f>IF($E16="Disque ",IF($D16="MiM",VLOOKUP($J16,MiM_Concours!$G$3:$J$52,4,TRUE),FALSE))</f>
        <v>0</v>
      </c>
      <c r="AA16" s="4" t="b">
        <f>IF($E16="Marteau ",IF($D16="MiM",VLOOKUP($J16,MiM_Concours!$H$3:$J$52,3,"VRAI"),FALSE))</f>
        <v>0</v>
      </c>
      <c r="AB16" s="11"/>
    </row>
    <row r="17" spans="1:28" ht="15">
      <c r="A17" s="60"/>
      <c r="B17" s="46"/>
      <c r="C17" s="46"/>
      <c r="D17" s="67" t="s">
        <v>54</v>
      </c>
      <c r="E17" s="37"/>
      <c r="F17" s="73"/>
      <c r="G17" s="48"/>
      <c r="H17" s="48"/>
      <c r="I17" s="48"/>
      <c r="J17" s="55">
        <f t="shared" si="0"/>
        <v>0</v>
      </c>
      <c r="K17" s="61">
        <f t="shared" si="1"/>
        <v>0</v>
      </c>
      <c r="L17" s="25" t="b">
        <f>IF($E17="Poids ",IF($D17="BeF",VLOOKUP($J17,BeF_Concours!$F$3:$J$52,5,TRUE),FALSE))</f>
        <v>0</v>
      </c>
      <c r="M17" s="4" t="b">
        <f>IF($E17="Javelot ",IF($D17="BeF",VLOOKUP($J17,BeF_Concours!$I$3:$J$52,2,TRUE),FALSE))</f>
        <v>0</v>
      </c>
      <c r="N17" s="4" t="b">
        <f>IF($E17="Disque ",IF($D17="BeF",VLOOKUP($J17,BeF_Concours!$G$3:$J$52,4,TRUE),FALSE))</f>
        <v>0</v>
      </c>
      <c r="O17" s="3" t="b">
        <f>IF($E17="Marteau ",IF($D17="BeF",VLOOKUP($J17,BeF_Concours!$H$3:$J$52,3,"VRAI"),FALSE))</f>
        <v>0</v>
      </c>
      <c r="P17" s="4" t="b">
        <f>IF($E17="Poids ",IF($D17="BeM",VLOOKUP($J17,BeM_Concours!F$3:J$52,5,TRUE),TRUE))</f>
        <v>0</v>
      </c>
      <c r="Q17" s="4" t="b">
        <f>IF($E17="Javelot ",IF($D17="BeM ",VLOOKUP($J17,BeM_Concours!$I$3:$J$52,2,TRUE),FALSE))</f>
        <v>0</v>
      </c>
      <c r="R17" s="4" t="b">
        <f>IF($E17="Disque ",IF($D17="BeM",VLOOKUP($J17,BeM_Concours!$G$3:$J$52,4,TRUE),FALSE))</f>
        <v>0</v>
      </c>
      <c r="S17" s="4" t="b">
        <f>IF($E17="Marteau ",IF($D17="BeM",VLOOKUP($J17,BeM_Concours!$H$3:$J$52,3,"VRAI"),FALSE))</f>
        <v>0</v>
      </c>
      <c r="T17" s="4" t="b">
        <f>IF($E17="Poids ",IF($D17="MiF",VLOOKUP($J17,MiF_Concours!$F$3:$J$52,5,TRUE),FALSE))</f>
        <v>0</v>
      </c>
      <c r="U17" s="4" t="b">
        <f>IF($E17="Javelot ",IF($D17="MiF",VLOOKUP($J17,MiF_Concours!$I$3:$J$52,2,TRUE),FALSE))</f>
        <v>0</v>
      </c>
      <c r="V17" s="4" t="b">
        <f>IF($E17="Disque ",IF($D17="MiF",VLOOKUP($J17,MiF_Concours!$G$3:$J$52,4,TRUE),FALSE))</f>
        <v>0</v>
      </c>
      <c r="W17" s="4" t="b">
        <f>IF($E17="Marteau ",IF($D17="MiF",VLOOKUP($J17,MiF_Concours!$H$3:$J$52,3,"VRAI"),FALSE))</f>
        <v>0</v>
      </c>
      <c r="X17" s="4" t="b">
        <f>IF($E17="Poids ",IF($D17="MiM",VLOOKUP($J17,MiM_Concours!$F$3:$J$52,5,TRUE),FALSE))</f>
        <v>0</v>
      </c>
      <c r="Y17" s="4" t="b">
        <f>IF($E17="Javelot ",IF($D17="MiM",VLOOKUP($J17,MiM_Concours!$I$3:$J$52,2,TRUE),FALSE))</f>
        <v>0</v>
      </c>
      <c r="Z17" s="4" t="b">
        <f>IF($E17="Disque ",IF($D17="MiM",VLOOKUP($J17,MiM_Concours!$G$3:$J$52,4,TRUE),FALSE))</f>
        <v>0</v>
      </c>
      <c r="AA17" s="4" t="b">
        <f>IF($E17="Marteau ",IF($D17="MiM",VLOOKUP($J17,MiM_Concours!$H$3:$J$52,3,"VRAI"),FALSE))</f>
        <v>0</v>
      </c>
      <c r="AB17" s="11"/>
    </row>
    <row r="18" spans="1:28" ht="15">
      <c r="A18" s="60"/>
      <c r="B18" s="46"/>
      <c r="C18" s="46"/>
      <c r="D18" s="67" t="s">
        <v>54</v>
      </c>
      <c r="E18" s="37"/>
      <c r="F18" s="73"/>
      <c r="G18" s="48"/>
      <c r="H18" s="48"/>
      <c r="I18" s="48"/>
      <c r="J18" s="55">
        <f t="shared" si="0"/>
        <v>0</v>
      </c>
      <c r="K18" s="61">
        <f t="shared" si="1"/>
        <v>0</v>
      </c>
      <c r="L18" s="25" t="b">
        <f>IF($E18="Poids ",IF($D18="BeF",VLOOKUP($J18,BeF_Concours!$F$3:$J$52,5,TRUE),FALSE))</f>
        <v>0</v>
      </c>
      <c r="M18" s="4" t="b">
        <f>IF($E18="Javelot ",IF($D18="BeF",VLOOKUP($J18,BeF_Concours!$I$3:$J$52,2,TRUE),FALSE))</f>
        <v>0</v>
      </c>
      <c r="N18" s="4" t="b">
        <f>IF($E18="Disque ",IF($D18="BeF",VLOOKUP($J18,BeF_Concours!$G$3:$J$52,4,TRUE),FALSE))</f>
        <v>0</v>
      </c>
      <c r="O18" s="3" t="b">
        <f>IF($E18="Marteau ",IF($D18="BeF",VLOOKUP($J18,BeF_Concours!$H$3:$J$52,3,"VRAI"),FALSE))</f>
        <v>0</v>
      </c>
      <c r="P18" s="4" t="b">
        <f>IF($E18="Poids ",IF($D18="BeM",VLOOKUP($J18,BeM_Concours!F$3:J$52,5,TRUE),TRUE))</f>
        <v>0</v>
      </c>
      <c r="Q18" s="4" t="b">
        <f>IF($E18="Javelot ",IF($D18="BeM ",VLOOKUP($J18,BeM_Concours!$I$3:$J$52,2,TRUE),FALSE))</f>
        <v>0</v>
      </c>
      <c r="R18" s="4" t="b">
        <f>IF($E18="Disque ",IF($D18="BeM",VLOOKUP($J18,BeM_Concours!$G$3:$J$52,4,TRUE),FALSE))</f>
        <v>0</v>
      </c>
      <c r="S18" s="4" t="b">
        <f>IF($E18="Marteau ",IF($D18="BeM",VLOOKUP($J18,BeM_Concours!$H$3:$J$52,3,"VRAI"),FALSE))</f>
        <v>0</v>
      </c>
      <c r="T18" s="4" t="b">
        <f>IF($E18="Poids ",IF($D18="MiF",VLOOKUP($J18,MiF_Concours!$F$3:$J$52,5,TRUE),FALSE))</f>
        <v>0</v>
      </c>
      <c r="U18" s="4" t="b">
        <f>IF($E18="Javelot ",IF($D18="MiF",VLOOKUP($J18,MiF_Concours!$I$3:$J$52,2,TRUE),FALSE))</f>
        <v>0</v>
      </c>
      <c r="V18" s="4" t="b">
        <f>IF($E18="Disque ",IF($D18="MiF",VLOOKUP($J18,MiF_Concours!$G$3:$J$52,4,TRUE),FALSE))</f>
        <v>0</v>
      </c>
      <c r="W18" s="4" t="b">
        <f>IF($E18="Marteau ",IF($D18="MiF",VLOOKUP($J18,MiF_Concours!$H$3:$J$52,3,"VRAI"),FALSE))</f>
        <v>0</v>
      </c>
      <c r="X18" s="4" t="b">
        <f>IF($E18="Poids ",IF($D18="MiM",VLOOKUP($J18,MiM_Concours!$F$3:$J$52,5,TRUE),FALSE))</f>
        <v>0</v>
      </c>
      <c r="Y18" s="4" t="b">
        <f>IF($E18="Javelot ",IF($D18="MiM",VLOOKUP($J18,MiM_Concours!$I$3:$J$52,2,TRUE),FALSE))</f>
        <v>0</v>
      </c>
      <c r="Z18" s="4" t="b">
        <f>IF($E18="Disque ",IF($D18="MiM",VLOOKUP($J18,MiM_Concours!$G$3:$J$52,4,TRUE),FALSE))</f>
        <v>0</v>
      </c>
      <c r="AA18" s="4" t="b">
        <f>IF($E18="Marteau ",IF($D18="MiM",VLOOKUP($J18,MiM_Concours!$H$3:$J$52,3,"VRAI"),FALSE))</f>
        <v>0</v>
      </c>
      <c r="AB18" s="11"/>
    </row>
    <row r="19" spans="1:28" ht="15">
      <c r="A19" s="60"/>
      <c r="B19" s="46"/>
      <c r="C19" s="70"/>
      <c r="D19" s="67" t="s">
        <v>54</v>
      </c>
      <c r="E19" s="37"/>
      <c r="F19" s="73"/>
      <c r="G19" s="48"/>
      <c r="H19" s="48"/>
      <c r="I19" s="48"/>
      <c r="J19" s="55">
        <f t="shared" si="0"/>
        <v>0</v>
      </c>
      <c r="K19" s="61">
        <f t="shared" si="1"/>
        <v>0</v>
      </c>
      <c r="L19" s="25" t="b">
        <f>IF($E19="Poids ",IF($D19="BeF",VLOOKUP($J19,BeF_Concours!$F$3:$J$52,5,TRUE),FALSE))</f>
        <v>0</v>
      </c>
      <c r="M19" s="4" t="b">
        <f>IF($E19="Javelot ",IF($D19="BeF",VLOOKUP($J19,BeF_Concours!$I$3:$J$52,2,TRUE),FALSE))</f>
        <v>0</v>
      </c>
      <c r="N19" s="4" t="b">
        <f>IF($E19="Disque ",IF($D19="BeF",VLOOKUP($J19,BeF_Concours!$G$3:$J$52,4,TRUE),FALSE))</f>
        <v>0</v>
      </c>
      <c r="O19" s="3" t="b">
        <f>IF($E19="Marteau ",IF($D19="BeF",VLOOKUP($J19,BeF_Concours!$H$3:$J$52,3,"VRAI"),FALSE))</f>
        <v>0</v>
      </c>
      <c r="P19" s="4" t="b">
        <f>IF($E19="Poids ",IF($D19="BeM",VLOOKUP($J19,BeM_Concours!F$3:J$52,5,TRUE),TRUE))</f>
        <v>0</v>
      </c>
      <c r="Q19" s="4" t="b">
        <f>IF($E19="Javelot ",IF($D19="BeM ",VLOOKUP($J19,BeM_Concours!$I$3:$J$52,2,TRUE),FALSE))</f>
        <v>0</v>
      </c>
      <c r="R19" s="4" t="b">
        <f>IF($E19="Disque ",IF($D19="BeM",VLOOKUP($J19,BeM_Concours!$G$3:$J$52,4,TRUE),FALSE))</f>
        <v>0</v>
      </c>
      <c r="S19" s="4" t="b">
        <f>IF($E19="Marteau ",IF($D19="BeM",VLOOKUP($J19,BeM_Concours!$H$3:$J$52,3,"VRAI"),FALSE))</f>
        <v>0</v>
      </c>
      <c r="T19" s="4" t="b">
        <f>IF($E19="Poids ",IF($D19="MiF",VLOOKUP($J19,MiF_Concours!$F$3:$J$52,5,TRUE),FALSE))</f>
        <v>0</v>
      </c>
      <c r="U19" s="4" t="b">
        <f>IF($E19="Javelot ",IF($D19="MiF",VLOOKUP($J19,MiF_Concours!$I$3:$J$52,2,TRUE),FALSE))</f>
        <v>0</v>
      </c>
      <c r="V19" s="4" t="b">
        <f>IF($E19="Disque ",IF($D19="MiF",VLOOKUP($J19,MiF_Concours!$G$3:$J$52,4,TRUE),FALSE))</f>
        <v>0</v>
      </c>
      <c r="W19" s="4" t="b">
        <f>IF($E19="Marteau ",IF($D19="MiF",VLOOKUP($J19,MiF_Concours!$H$3:$J$52,3,"VRAI"),FALSE))</f>
        <v>0</v>
      </c>
      <c r="X19" s="4" t="b">
        <f>IF($E19="Poids ",IF($D19="MiM",VLOOKUP($J19,MiM_Concours!$F$3:$J$52,5,TRUE),FALSE))</f>
        <v>0</v>
      </c>
      <c r="Y19" s="4" t="b">
        <f>IF($E19="Javelot ",IF($D19="MiM",VLOOKUP($J19,MiM_Concours!$I$3:$J$52,2,TRUE),FALSE))</f>
        <v>0</v>
      </c>
      <c r="Z19" s="4" t="b">
        <f>IF($E19="Disque ",IF($D19="MiM",VLOOKUP($J19,MiM_Concours!$G$3:$J$52,4,TRUE),FALSE))</f>
        <v>0</v>
      </c>
      <c r="AA19" s="4" t="b">
        <f>IF($E19="Marteau ",IF($D19="MiM",VLOOKUP($J19,MiM_Concours!$H$3:$J$52,3,"VRAI"),FALSE))</f>
        <v>0</v>
      </c>
      <c r="AB19" s="11"/>
    </row>
    <row r="20" spans="1:28" ht="15">
      <c r="A20" s="60"/>
      <c r="B20" s="46"/>
      <c r="C20" s="70"/>
      <c r="D20" s="67" t="s">
        <v>54</v>
      </c>
      <c r="E20" s="37"/>
      <c r="F20" s="73"/>
      <c r="G20" s="48"/>
      <c r="H20" s="48"/>
      <c r="I20" s="48"/>
      <c r="J20" s="55">
        <f t="shared" si="0"/>
        <v>0</v>
      </c>
      <c r="K20" s="61">
        <f t="shared" si="1"/>
        <v>0</v>
      </c>
      <c r="L20" s="25" t="b">
        <f>IF($E20="Poids ",IF($D20="BeF",VLOOKUP($J20,BeF_Concours!$F$3:$J$52,5,TRUE),FALSE))</f>
        <v>0</v>
      </c>
      <c r="M20" s="4" t="b">
        <f>IF($E20="Javelot ",IF($D20="BeF",VLOOKUP($J20,BeF_Concours!$I$3:$J$52,2,TRUE),FALSE))</f>
        <v>0</v>
      </c>
      <c r="N20" s="4" t="b">
        <f>IF($E20="Disque ",IF($D20="BeF",VLOOKUP($J20,BeF_Concours!$G$3:$J$52,4,TRUE),FALSE))</f>
        <v>0</v>
      </c>
      <c r="O20" s="3" t="b">
        <f>IF($E20="Marteau ",IF($D20="BeF",VLOOKUP($J20,BeF_Concours!$H$3:$J$52,3,"VRAI"),FALSE))</f>
        <v>0</v>
      </c>
      <c r="P20" s="4" t="b">
        <f>IF($E20="Poids ",IF($D20="BeM",VLOOKUP($J20,BeM_Concours!F$3:J$52,5,TRUE),TRUE))</f>
        <v>0</v>
      </c>
      <c r="Q20" s="4" t="b">
        <f>IF($E20="Javelot ",IF($D20="BeM ",VLOOKUP($J20,BeM_Concours!$I$3:$J$52,2,TRUE),FALSE))</f>
        <v>0</v>
      </c>
      <c r="R20" s="4" t="b">
        <f>IF($E20="Disque ",IF($D20="BeM",VLOOKUP($J20,BeM_Concours!$G$3:$J$52,4,TRUE),FALSE))</f>
        <v>0</v>
      </c>
      <c r="S20" s="4" t="b">
        <f>IF($E20="Marteau ",IF($D20="BeM",VLOOKUP($J20,BeM_Concours!$H$3:$J$52,3,"VRAI"),FALSE))</f>
        <v>0</v>
      </c>
      <c r="T20" s="4" t="b">
        <f>IF($E20="Poids ",IF($D20="MiF",VLOOKUP($J20,MiF_Concours!$F$3:$J$52,5,TRUE),FALSE))</f>
        <v>0</v>
      </c>
      <c r="U20" s="4" t="b">
        <f>IF($E20="Javelot ",IF($D20="MiF",VLOOKUP($J20,MiF_Concours!$I$3:$J$52,2,TRUE),FALSE))</f>
        <v>0</v>
      </c>
      <c r="V20" s="4" t="b">
        <f>IF($E20="Disque ",IF($D20="MiF",VLOOKUP($J20,MiF_Concours!$G$3:$J$52,4,TRUE),FALSE))</f>
        <v>0</v>
      </c>
      <c r="W20" s="4" t="b">
        <f>IF($E20="Marteau ",IF($D20="MiF",VLOOKUP($J20,MiF_Concours!$H$3:$J$52,3,"VRAI"),FALSE))</f>
        <v>0</v>
      </c>
      <c r="X20" s="4" t="b">
        <f>IF($E20="Poids ",IF($D20="MiM",VLOOKUP($J20,MiM_Concours!$F$3:$J$52,5,TRUE),FALSE))</f>
        <v>0</v>
      </c>
      <c r="Y20" s="4" t="b">
        <f>IF($E20="Javelot ",IF($D20="MiM",VLOOKUP($J20,MiM_Concours!$I$3:$J$52,2,TRUE),FALSE))</f>
        <v>0</v>
      </c>
      <c r="Z20" s="4" t="b">
        <f>IF($E20="Disque ",IF($D20="MiM",VLOOKUP($J20,MiM_Concours!$G$3:$J$52,4,TRUE),FALSE))</f>
        <v>0</v>
      </c>
      <c r="AA20" s="4" t="b">
        <f>IF($E20="Marteau ",IF($D20="MiM",VLOOKUP($J20,MiM_Concours!$H$3:$J$52,3,"VRAI"),FALSE))</f>
        <v>0</v>
      </c>
      <c r="AB20" s="11"/>
    </row>
    <row r="21" spans="1:28" ht="15">
      <c r="A21" s="60"/>
      <c r="B21" s="46"/>
      <c r="C21" s="70"/>
      <c r="D21" s="67" t="s">
        <v>54</v>
      </c>
      <c r="E21" s="37"/>
      <c r="F21" s="73"/>
      <c r="G21" s="48"/>
      <c r="H21" s="48"/>
      <c r="I21" s="48"/>
      <c r="J21" s="55">
        <f t="shared" si="0"/>
        <v>0</v>
      </c>
      <c r="K21" s="61">
        <f t="shared" si="1"/>
        <v>0</v>
      </c>
      <c r="L21" s="25" t="b">
        <f>IF($E21="Poids ",IF($D21="BeF",VLOOKUP($J21,BeF_Concours!$F$3:$J$52,5,TRUE),FALSE))</f>
        <v>0</v>
      </c>
      <c r="M21" s="4" t="b">
        <f>IF($E21="Javelot ",IF($D21="BeF",VLOOKUP($J21,BeF_Concours!$I$3:$J$52,2,TRUE),FALSE))</f>
        <v>0</v>
      </c>
      <c r="N21" s="4" t="b">
        <f>IF($E21="Disque ",IF($D21="BeF",VLOOKUP($J21,BeF_Concours!$G$3:$J$52,4,TRUE),FALSE))</f>
        <v>0</v>
      </c>
      <c r="O21" s="3" t="b">
        <f>IF($E21="Marteau ",IF($D21="BeF",VLOOKUP($J21,BeF_Concours!$H$3:$J$52,3,"VRAI"),FALSE))</f>
        <v>0</v>
      </c>
      <c r="P21" s="4" t="b">
        <f>IF($E21="Poids ",IF($D21="BeM",VLOOKUP($J21,BeM_Concours!F$3:J$52,5,TRUE),TRUE))</f>
        <v>0</v>
      </c>
      <c r="Q21" s="4" t="b">
        <f>IF($E21="Javelot ",IF($D21="BeM ",VLOOKUP($J21,BeM_Concours!$I$3:$J$52,2,TRUE),FALSE))</f>
        <v>0</v>
      </c>
      <c r="R21" s="4" t="b">
        <f>IF($E21="Disque ",IF($D21="BeM",VLOOKUP($J21,BeM_Concours!$G$3:$J$52,4,TRUE),FALSE))</f>
        <v>0</v>
      </c>
      <c r="S21" s="4" t="b">
        <f>IF($E21="Marteau ",IF($D21="BeM",VLOOKUP($J21,BeM_Concours!$H$3:$J$52,3,"VRAI"),FALSE))</f>
        <v>0</v>
      </c>
      <c r="T21" s="4" t="b">
        <f>IF($E21="Poids ",IF($D21="MiF",VLOOKUP($J21,MiF_Concours!$F$3:$J$52,5,TRUE),FALSE))</f>
        <v>0</v>
      </c>
      <c r="U21" s="4" t="b">
        <f>IF($E21="Javelot ",IF($D21="MiF",VLOOKUP($J21,MiF_Concours!$I$3:$J$52,2,TRUE),FALSE))</f>
        <v>0</v>
      </c>
      <c r="V21" s="4" t="b">
        <f>IF($E21="Disque ",IF($D21="MiF",VLOOKUP($J21,MiF_Concours!$G$3:$J$52,4,TRUE),FALSE))</f>
        <v>0</v>
      </c>
      <c r="W21" s="4" t="b">
        <f>IF($E21="Marteau ",IF($D21="MiF",VLOOKUP($J21,MiF_Concours!$H$3:$J$52,3,"VRAI"),FALSE))</f>
        <v>0</v>
      </c>
      <c r="X21" s="4" t="b">
        <f>IF($E21="Poids ",IF($D21="MiM",VLOOKUP($J21,MiM_Concours!$F$3:$J$52,5,TRUE),FALSE))</f>
        <v>0</v>
      </c>
      <c r="Y21" s="4" t="b">
        <f>IF($E21="Javelot ",IF($D21="MiM",VLOOKUP($J21,MiM_Concours!$I$3:$J$52,2,TRUE),FALSE))</f>
        <v>0</v>
      </c>
      <c r="Z21" s="4" t="b">
        <f>IF($E21="Disque ",IF($D21="MiM",VLOOKUP($J21,MiM_Concours!$G$3:$J$52,4,TRUE),FALSE))</f>
        <v>0</v>
      </c>
      <c r="AA21" s="4" t="b">
        <f>IF($E21="Marteau ",IF($D21="MiM",VLOOKUP($J21,MiM_Concours!$H$3:$J$52,3,"VRAI"),FALSE))</f>
        <v>0</v>
      </c>
      <c r="AB21" s="11"/>
    </row>
    <row r="22" spans="1:28" ht="15">
      <c r="A22" s="60"/>
      <c r="B22" s="46"/>
      <c r="C22" s="70"/>
      <c r="D22" s="67" t="s">
        <v>54</v>
      </c>
      <c r="E22" s="37"/>
      <c r="F22" s="73"/>
      <c r="G22" s="48"/>
      <c r="H22" s="48"/>
      <c r="I22" s="48"/>
      <c r="J22" s="55">
        <f t="shared" si="0"/>
        <v>0</v>
      </c>
      <c r="K22" s="61">
        <f t="shared" si="1"/>
        <v>0</v>
      </c>
      <c r="L22" s="25" t="b">
        <f>IF($E22="Poids ",IF($D22="BeF",VLOOKUP($J22,BeF_Concours!$F$3:$J$52,5,TRUE),FALSE))</f>
        <v>0</v>
      </c>
      <c r="M22" s="4" t="b">
        <f>IF($E22="Javelot ",IF($D22="BeF",VLOOKUP($J22,BeF_Concours!$I$3:$J$52,2,TRUE),FALSE))</f>
        <v>0</v>
      </c>
      <c r="N22" s="4" t="b">
        <f>IF($E22="Disque ",IF($D22="BeF",VLOOKUP($J22,BeF_Concours!$G$3:$J$52,4,TRUE),FALSE))</f>
        <v>0</v>
      </c>
      <c r="O22" s="3" t="b">
        <f>IF($E22="Marteau ",IF($D22="BeF",VLOOKUP($J22,BeF_Concours!$H$3:$J$52,3,"VRAI"),FALSE))</f>
        <v>0</v>
      </c>
      <c r="P22" s="4" t="b">
        <f>IF($E22="Poids ",IF($D22="BeM",VLOOKUP($J22,BeM_Concours!F$3:J$52,5,TRUE),TRUE))</f>
        <v>0</v>
      </c>
      <c r="Q22" s="4" t="b">
        <f>IF($E22="Javelot ",IF($D22="BeM ",VLOOKUP($J22,BeM_Concours!$I$3:$J$52,2,TRUE),FALSE))</f>
        <v>0</v>
      </c>
      <c r="R22" s="4" t="b">
        <f>IF($E22="Disque ",IF($D22="BeM",VLOOKUP($J22,BeM_Concours!$G$3:$J$52,4,TRUE),FALSE))</f>
        <v>0</v>
      </c>
      <c r="S22" s="4" t="b">
        <f>IF($E22="Marteau ",IF($D22="BeM",VLOOKUP($J22,BeM_Concours!$H$3:$J$52,3,"VRAI"),FALSE))</f>
        <v>0</v>
      </c>
      <c r="T22" s="4" t="b">
        <f>IF($E22="Poids ",IF($D22="MiF",VLOOKUP($J22,MiF_Concours!$F$3:$J$52,5,TRUE),FALSE))</f>
        <v>0</v>
      </c>
      <c r="U22" s="4" t="b">
        <f>IF($E22="Javelot ",IF($D22="MiF",VLOOKUP($J22,MiF_Concours!$I$3:$J$52,2,TRUE),FALSE))</f>
        <v>0</v>
      </c>
      <c r="V22" s="4" t="b">
        <f>IF($E22="Disque ",IF($D22="MiF",VLOOKUP($J22,MiF_Concours!$G$3:$J$52,4,TRUE),FALSE))</f>
        <v>0</v>
      </c>
      <c r="W22" s="4" t="b">
        <f>IF($E22="Marteau ",IF($D22="MiF",VLOOKUP($J22,MiF_Concours!$H$3:$J$52,3,"VRAI"),FALSE))</f>
        <v>0</v>
      </c>
      <c r="X22" s="4" t="b">
        <f>IF($E22="Poids ",IF($D22="MiM",VLOOKUP($J22,MiM_Concours!$F$3:$J$52,5,TRUE),FALSE))</f>
        <v>0</v>
      </c>
      <c r="Y22" s="4" t="b">
        <f>IF($E22="Javelot ",IF($D22="MiM",VLOOKUP($J22,MiM_Concours!$I$3:$J$52,2,TRUE),FALSE))</f>
        <v>0</v>
      </c>
      <c r="Z22" s="4" t="b">
        <f>IF($E22="Disque ",IF($D22="MiM",VLOOKUP($J22,MiM_Concours!$G$3:$J$52,4,TRUE),FALSE))</f>
        <v>0</v>
      </c>
      <c r="AA22" s="4" t="b">
        <f>IF($E22="Marteau ",IF($D22="MiM",VLOOKUP($J22,MiM_Concours!$H$3:$J$52,3,"VRAI"),FALSE))</f>
        <v>0</v>
      </c>
      <c r="AB22" s="11"/>
    </row>
    <row r="23" spans="1:28" ht="15">
      <c r="A23" s="60"/>
      <c r="B23" s="46"/>
      <c r="C23" s="70"/>
      <c r="D23" s="67" t="s">
        <v>54</v>
      </c>
      <c r="E23" s="37"/>
      <c r="F23" s="73"/>
      <c r="G23" s="48"/>
      <c r="H23" s="48"/>
      <c r="I23" s="48"/>
      <c r="J23" s="55">
        <f t="shared" si="0"/>
        <v>0</v>
      </c>
      <c r="K23" s="61">
        <f t="shared" si="1"/>
        <v>0</v>
      </c>
      <c r="L23" s="25" t="b">
        <f>IF($E23="Poids ",IF($D23="BeF",VLOOKUP($J23,BeF_Concours!$F$3:$J$52,5,TRUE),FALSE))</f>
        <v>0</v>
      </c>
      <c r="M23" s="4" t="b">
        <f>IF($E23="Javelot ",IF($D23="BeF",VLOOKUP($J23,BeF_Concours!$I$3:$J$52,2,TRUE),FALSE))</f>
        <v>0</v>
      </c>
      <c r="N23" s="4" t="b">
        <f>IF($E23="Disque ",IF($D23="BeF",VLOOKUP($J23,BeF_Concours!$G$3:$J$52,4,TRUE),FALSE))</f>
        <v>0</v>
      </c>
      <c r="O23" s="3" t="b">
        <f>IF($E23="Marteau ",IF($D23="BeF",VLOOKUP($J23,BeF_Concours!$H$3:$J$52,3,"VRAI"),FALSE))</f>
        <v>0</v>
      </c>
      <c r="P23" s="4" t="b">
        <f>IF($E23="Poids ",IF($D23="BeM",VLOOKUP($J23,BeM_Concours!F$3:J$52,5,TRUE),TRUE))</f>
        <v>0</v>
      </c>
      <c r="Q23" s="4" t="b">
        <f>IF($E23="Javelot ",IF($D23="BeM ",VLOOKUP($J23,BeM_Concours!$I$3:$J$52,2,TRUE),FALSE))</f>
        <v>0</v>
      </c>
      <c r="R23" s="4" t="b">
        <f>IF($E23="Disque ",IF($D23="BeM",VLOOKUP($J23,BeM_Concours!$G$3:$J$52,4,TRUE),FALSE))</f>
        <v>0</v>
      </c>
      <c r="S23" s="4" t="b">
        <f>IF($E23="Marteau ",IF($D23="BeM",VLOOKUP($J23,BeM_Concours!$H$3:$J$52,3,"VRAI"),FALSE))</f>
        <v>0</v>
      </c>
      <c r="T23" s="4" t="b">
        <f>IF($E23="Poids ",IF($D23="MiF",VLOOKUP($J23,MiF_Concours!$F$3:$J$52,5,TRUE),FALSE))</f>
        <v>0</v>
      </c>
      <c r="U23" s="4" t="b">
        <f>IF($E23="Javelot ",IF($D23="MiF",VLOOKUP($J23,MiF_Concours!$I$3:$J$52,2,TRUE),FALSE))</f>
        <v>0</v>
      </c>
      <c r="V23" s="4" t="b">
        <f>IF($E23="Disque ",IF($D23="MiF",VLOOKUP($J23,MiF_Concours!$G$3:$J$52,4,TRUE),FALSE))</f>
        <v>0</v>
      </c>
      <c r="W23" s="4" t="b">
        <f>IF($E23="Marteau ",IF($D23="MiF",VLOOKUP($J23,MiF_Concours!$H$3:$J$52,3,"VRAI"),FALSE))</f>
        <v>0</v>
      </c>
      <c r="X23" s="4" t="b">
        <f>IF($E23="Poids ",IF($D23="MiM",VLOOKUP($J23,MiM_Concours!$F$3:$J$52,5,TRUE),FALSE))</f>
        <v>0</v>
      </c>
      <c r="Y23" s="4" t="b">
        <f>IF($E23="Javelot ",IF($D23="MiM",VLOOKUP($J23,MiM_Concours!$I$3:$J$52,2,TRUE),FALSE))</f>
        <v>0</v>
      </c>
      <c r="Z23" s="4" t="b">
        <f>IF($E23="Disque ",IF($D23="MiM",VLOOKUP($J23,MiM_Concours!$G$3:$J$52,4,TRUE),FALSE))</f>
        <v>0</v>
      </c>
      <c r="AA23" s="4" t="b">
        <f>IF($E23="Marteau ",IF($D23="MiM",VLOOKUP($J23,MiM_Concours!$H$3:$J$52,3,"VRAI"),FALSE))</f>
        <v>0</v>
      </c>
      <c r="AB23" s="11"/>
    </row>
    <row r="24" spans="1:28" ht="15">
      <c r="A24" s="60"/>
      <c r="B24" s="46"/>
      <c r="C24" s="70"/>
      <c r="D24" s="67" t="s">
        <v>54</v>
      </c>
      <c r="E24" s="37"/>
      <c r="F24" s="73"/>
      <c r="G24" s="48"/>
      <c r="H24" s="48"/>
      <c r="I24" s="48"/>
      <c r="J24" s="55">
        <f t="shared" si="0"/>
        <v>0</v>
      </c>
      <c r="K24" s="61">
        <f t="shared" si="1"/>
        <v>0</v>
      </c>
      <c r="L24" s="25" t="b">
        <f>IF($E24="Poids ",IF($D24="BeF",VLOOKUP($J24,BeF_Concours!$F$3:$J$52,5,TRUE),FALSE))</f>
        <v>0</v>
      </c>
      <c r="M24" s="4" t="b">
        <f>IF($E24="Javelot ",IF($D24="BeF",VLOOKUP($J24,BeF_Concours!$I$3:$J$52,2,TRUE),FALSE))</f>
        <v>0</v>
      </c>
      <c r="N24" s="4" t="b">
        <f>IF($E24="Disque ",IF($D24="BeF",VLOOKUP($J24,BeF_Concours!$G$3:$J$52,4,TRUE),FALSE))</f>
        <v>0</v>
      </c>
      <c r="O24" s="3" t="b">
        <f>IF($E24="Marteau ",IF($D24="BeF",VLOOKUP($J24,BeF_Concours!$H$3:$J$52,3,"VRAI"),FALSE))</f>
        <v>0</v>
      </c>
      <c r="P24" s="4" t="b">
        <f>IF($E24="Poids ",IF($D24="BeM",VLOOKUP($J24,BeM_Concours!F$3:J$52,5,TRUE),TRUE))</f>
        <v>0</v>
      </c>
      <c r="Q24" s="4" t="b">
        <f>IF($E24="Javelot ",IF($D24="BeM ",VLOOKUP($J24,BeM_Concours!$I$3:$J$52,2,TRUE),FALSE))</f>
        <v>0</v>
      </c>
      <c r="R24" s="4" t="b">
        <f>IF($E24="Disque ",IF($D24="BeM",VLOOKUP($J24,BeM_Concours!$G$3:$J$52,4,TRUE),FALSE))</f>
        <v>0</v>
      </c>
      <c r="S24" s="4" t="b">
        <f>IF($E24="Marteau ",IF($D24="BeM",VLOOKUP($J24,BeM_Concours!$H$3:$J$52,3,"VRAI"),FALSE))</f>
        <v>0</v>
      </c>
      <c r="T24" s="4" t="b">
        <f>IF($E24="Poids ",IF($D24="MiF",VLOOKUP($J24,MiF_Concours!$F$3:$J$52,5,TRUE),FALSE))</f>
        <v>0</v>
      </c>
      <c r="U24" s="4" t="b">
        <f>IF($E24="Javelot ",IF($D24="MiF",VLOOKUP($J24,MiF_Concours!$I$3:$J$52,2,TRUE),FALSE))</f>
        <v>0</v>
      </c>
      <c r="V24" s="4" t="b">
        <f>IF($E24="Disque ",IF($D24="MiF",VLOOKUP($J24,MiF_Concours!$G$3:$J$52,4,TRUE),FALSE))</f>
        <v>0</v>
      </c>
      <c r="W24" s="4" t="b">
        <f>IF($E24="Marteau ",IF($D24="MiF",VLOOKUP($J24,MiF_Concours!$H$3:$J$52,3,"VRAI"),FALSE))</f>
        <v>0</v>
      </c>
      <c r="X24" s="4" t="b">
        <f>IF($E24="Poids ",IF($D24="MiM",VLOOKUP($J24,MiM_Concours!$F$3:$J$52,5,TRUE),FALSE))</f>
        <v>0</v>
      </c>
      <c r="Y24" s="4" t="b">
        <f>IF($E24="Javelot ",IF($D24="MiM",VLOOKUP($J24,MiM_Concours!$I$3:$J$52,2,TRUE),FALSE))</f>
        <v>0</v>
      </c>
      <c r="Z24" s="4" t="b">
        <f>IF($E24="Disque ",IF($D24="MiM",VLOOKUP($J24,MiM_Concours!$G$3:$J$52,4,TRUE),FALSE))</f>
        <v>0</v>
      </c>
      <c r="AA24" s="4" t="b">
        <f>IF($E24="Marteau ",IF($D24="MiM",VLOOKUP($J24,MiM_Concours!$H$3:$J$52,3,"VRAI"),FALSE))</f>
        <v>0</v>
      </c>
      <c r="AB24" s="11"/>
    </row>
    <row r="25" spans="1:28" ht="15">
      <c r="A25" s="60"/>
      <c r="B25" s="46"/>
      <c r="C25" s="70"/>
      <c r="D25" s="67" t="s">
        <v>54</v>
      </c>
      <c r="E25" s="37"/>
      <c r="F25" s="73"/>
      <c r="G25" s="48"/>
      <c r="H25" s="48"/>
      <c r="I25" s="48"/>
      <c r="J25" s="55">
        <f t="shared" si="0"/>
        <v>0</v>
      </c>
      <c r="K25" s="61">
        <f t="shared" si="1"/>
        <v>0</v>
      </c>
      <c r="L25" s="25" t="b">
        <f>IF($E25="Poids ",IF($D25="BeF",VLOOKUP($J25,BeF_Concours!$F$3:$J$52,5,TRUE),FALSE))</f>
        <v>0</v>
      </c>
      <c r="M25" s="4" t="b">
        <f>IF($E25="Javelot ",IF($D25="BeF",VLOOKUP($J25,BeF_Concours!$I$3:$J$52,2,TRUE),FALSE))</f>
        <v>0</v>
      </c>
      <c r="N25" s="4" t="b">
        <f>IF($E25="Disque ",IF($D25="BeF",VLOOKUP($J25,BeF_Concours!$G$3:$J$52,4,TRUE),FALSE))</f>
        <v>0</v>
      </c>
      <c r="O25" s="3" t="b">
        <f>IF($E25="Marteau ",IF($D25="BeF",VLOOKUP($J25,BeF_Concours!$H$3:$J$52,3,"VRAI"),FALSE))</f>
        <v>0</v>
      </c>
      <c r="P25" s="4" t="b">
        <f>IF($E25="Poids ",IF($D25="BeM",VLOOKUP($J25,BeM_Concours!F$3:J$52,5,TRUE),TRUE))</f>
        <v>0</v>
      </c>
      <c r="Q25" s="4" t="b">
        <f>IF($E25="Javelot ",IF($D25="BeM ",VLOOKUP($J25,BeM_Concours!$I$3:$J$52,2,TRUE),FALSE))</f>
        <v>0</v>
      </c>
      <c r="R25" s="4" t="b">
        <f>IF($E25="Disque ",IF($D25="BeM",VLOOKUP($J25,BeM_Concours!$G$3:$J$52,4,TRUE),FALSE))</f>
        <v>0</v>
      </c>
      <c r="S25" s="4" t="b">
        <f>IF($E25="Marteau ",IF($D25="BeM",VLOOKUP($J25,BeM_Concours!$H$3:$J$52,3,"VRAI"),FALSE))</f>
        <v>0</v>
      </c>
      <c r="T25" s="4" t="b">
        <f>IF($E25="Poids ",IF($D25="MiF",VLOOKUP($J25,MiF_Concours!$F$3:$J$52,5,TRUE),FALSE))</f>
        <v>0</v>
      </c>
      <c r="U25" s="4" t="b">
        <f>IF($E25="Javelot ",IF($D25="MiF",VLOOKUP($J25,MiF_Concours!$I$3:$J$52,2,TRUE),FALSE))</f>
        <v>0</v>
      </c>
      <c r="V25" s="4" t="b">
        <f>IF($E25="Disque ",IF($D25="MiF",VLOOKUP($J25,MiF_Concours!$G$3:$J$52,4,TRUE),FALSE))</f>
        <v>0</v>
      </c>
      <c r="W25" s="4" t="b">
        <f>IF($E25="Marteau ",IF($D25="MiF",VLOOKUP($J25,MiF_Concours!$H$3:$J$52,3,"VRAI"),FALSE))</f>
        <v>0</v>
      </c>
      <c r="X25" s="4" t="b">
        <f>IF($E25="Poids ",IF($D25="MiM",VLOOKUP($J25,MiM_Concours!$F$3:$J$52,5,TRUE),FALSE))</f>
        <v>0</v>
      </c>
      <c r="Y25" s="4" t="b">
        <f>IF($E25="Javelot ",IF($D25="MiM",VLOOKUP($J25,MiM_Concours!$I$3:$J$52,2,TRUE),FALSE))</f>
        <v>0</v>
      </c>
      <c r="Z25" s="4" t="b">
        <f>IF($E25="Disque ",IF($D25="MiM",VLOOKUP($J25,MiM_Concours!$G$3:$J$52,4,TRUE),FALSE))</f>
        <v>0</v>
      </c>
      <c r="AA25" s="4" t="b">
        <f>IF($E25="Marteau ",IF($D25="MiM",VLOOKUP($J25,MiM_Concours!$H$3:$J$52,3,"VRAI"),FALSE))</f>
        <v>0</v>
      </c>
      <c r="AB25" s="11"/>
    </row>
    <row r="26" spans="1:28" ht="15">
      <c r="A26" s="60"/>
      <c r="B26" s="46"/>
      <c r="C26" s="70"/>
      <c r="D26" s="67" t="s">
        <v>54</v>
      </c>
      <c r="E26" s="37"/>
      <c r="F26" s="73"/>
      <c r="G26" s="48"/>
      <c r="H26" s="48"/>
      <c r="I26" s="48"/>
      <c r="J26" s="55">
        <f t="shared" si="0"/>
        <v>0</v>
      </c>
      <c r="K26" s="61">
        <f t="shared" si="1"/>
        <v>0</v>
      </c>
      <c r="L26" s="25" t="b">
        <f>IF($E26="Poids ",IF($D26="BeF",VLOOKUP($J26,BeF_Concours!$F$3:$J$52,5,TRUE),FALSE))</f>
        <v>0</v>
      </c>
      <c r="M26" s="4" t="b">
        <f>IF($E26="Javelot ",IF($D26="BeF",VLOOKUP($J26,BeF_Concours!$I$3:$J$52,2,TRUE),FALSE))</f>
        <v>0</v>
      </c>
      <c r="N26" s="4" t="b">
        <f>IF($E26="Disque ",IF($D26="BeF",VLOOKUP($J26,BeF_Concours!$G$3:$J$52,4,TRUE),FALSE))</f>
        <v>0</v>
      </c>
      <c r="O26" s="3" t="b">
        <f>IF($E26="Marteau ",IF($D26="BeF",VLOOKUP($J26,BeF_Concours!$H$3:$J$52,3,"VRAI"),FALSE))</f>
        <v>0</v>
      </c>
      <c r="P26" s="4" t="b">
        <f>IF($E26="Poids ",IF($D26="BeM",VLOOKUP($J26,BeM_Concours!F$3:J$52,5,TRUE),TRUE))</f>
        <v>0</v>
      </c>
      <c r="Q26" s="4" t="b">
        <f>IF($E26="Javelot ",IF($D26="BeM ",VLOOKUP($J26,BeM_Concours!$I$3:$J$52,2,TRUE),FALSE))</f>
        <v>0</v>
      </c>
      <c r="R26" s="4" t="b">
        <f>IF($E26="Disque ",IF($D26="BeM",VLOOKUP($J26,BeM_Concours!$G$3:$J$52,4,TRUE),FALSE))</f>
        <v>0</v>
      </c>
      <c r="S26" s="4" t="b">
        <f>IF($E26="Marteau ",IF($D26="BeM",VLOOKUP($J26,BeM_Concours!$H$3:$J$52,3,"VRAI"),FALSE))</f>
        <v>0</v>
      </c>
      <c r="T26" s="4" t="b">
        <f>IF($E26="Poids ",IF($D26="MiF",VLOOKUP($J26,MiF_Concours!$F$3:$J$52,5,TRUE),FALSE))</f>
        <v>0</v>
      </c>
      <c r="U26" s="4" t="b">
        <f>IF($E26="Javelot ",IF($D26="MiF",VLOOKUP($J26,MiF_Concours!$I$3:$J$52,2,TRUE),FALSE))</f>
        <v>0</v>
      </c>
      <c r="V26" s="4" t="b">
        <f>IF($E26="Disque ",IF($D26="MiF",VLOOKUP($J26,MiF_Concours!$G$3:$J$52,4,TRUE),FALSE))</f>
        <v>0</v>
      </c>
      <c r="W26" s="4" t="b">
        <f>IF($E26="Marteau ",IF($D26="MiF",VLOOKUP($J26,MiF_Concours!$H$3:$J$52,3,"VRAI"),FALSE))</f>
        <v>0</v>
      </c>
      <c r="X26" s="4" t="b">
        <f>IF($E26="Poids ",IF($D26="MiM",VLOOKUP($J26,MiM_Concours!$F$3:$J$52,5,TRUE),FALSE))</f>
        <v>0</v>
      </c>
      <c r="Y26" s="4" t="b">
        <f>IF($E26="Javelot ",IF($D26="MiM",VLOOKUP($J26,MiM_Concours!$I$3:$J$52,2,TRUE),FALSE))</f>
        <v>0</v>
      </c>
      <c r="Z26" s="4" t="b">
        <f>IF($E26="Disque ",IF($D26="MiM",VLOOKUP($J26,MiM_Concours!$G$3:$J$52,4,TRUE),FALSE))</f>
        <v>0</v>
      </c>
      <c r="AA26" s="4" t="b">
        <f>IF($E26="Marteau ",IF($D26="MiM",VLOOKUP($J26,MiM_Concours!$H$3:$J$52,3,"VRAI"),FALSE))</f>
        <v>0</v>
      </c>
      <c r="AB26" s="11"/>
    </row>
    <row r="27" spans="1:28" ht="15">
      <c r="A27" s="60"/>
      <c r="B27" s="46"/>
      <c r="C27" s="70"/>
      <c r="D27" s="67" t="s">
        <v>54</v>
      </c>
      <c r="E27" s="37"/>
      <c r="F27" s="73"/>
      <c r="G27" s="48"/>
      <c r="H27" s="48"/>
      <c r="I27" s="48"/>
      <c r="J27" s="55">
        <f t="shared" si="0"/>
        <v>0</v>
      </c>
      <c r="K27" s="61">
        <f t="shared" si="1"/>
        <v>0</v>
      </c>
      <c r="L27" s="25" t="b">
        <f>IF($E27="Poids ",IF($D27="BeF",VLOOKUP($J27,BeF_Concours!$F$3:$J$52,5,TRUE),FALSE))</f>
        <v>0</v>
      </c>
      <c r="M27" s="4" t="b">
        <f>IF($E27="Javelot ",IF($D27="BeF",VLOOKUP($J27,BeF_Concours!$I$3:$J$52,2,TRUE),FALSE))</f>
        <v>0</v>
      </c>
      <c r="N27" s="4" t="b">
        <f>IF($E27="Disque ",IF($D27="BeF",VLOOKUP($J27,BeF_Concours!$G$3:$J$52,4,TRUE),FALSE))</f>
        <v>0</v>
      </c>
      <c r="O27" s="3" t="b">
        <f>IF($E27="Marteau ",IF($D27="BeF",VLOOKUP($J27,BeF_Concours!$H$3:$J$52,3,"VRAI"),FALSE))</f>
        <v>0</v>
      </c>
      <c r="P27" s="4" t="b">
        <f>IF($E27="Poids ",IF($D27="BeM",VLOOKUP($J27,BeM_Concours!F$3:J$52,5,TRUE),TRUE))</f>
        <v>0</v>
      </c>
      <c r="Q27" s="4" t="b">
        <f>IF($E27="Javelot ",IF($D27="BeM ",VLOOKUP($J27,BeM_Concours!$I$3:$J$52,2,TRUE),FALSE))</f>
        <v>0</v>
      </c>
      <c r="R27" s="4" t="b">
        <f>IF($E27="Disque ",IF($D27="BeM",VLOOKUP($J27,BeM_Concours!$G$3:$J$52,4,TRUE),FALSE))</f>
        <v>0</v>
      </c>
      <c r="S27" s="4" t="b">
        <f>IF($E27="Marteau ",IF($D27="BeM",VLOOKUP($J27,BeM_Concours!$H$3:$J$52,3,"VRAI"),FALSE))</f>
        <v>0</v>
      </c>
      <c r="T27" s="4" t="b">
        <f>IF($E27="Poids ",IF($D27="MiF",VLOOKUP($J27,MiF_Concours!$F$3:$J$52,5,TRUE),FALSE))</f>
        <v>0</v>
      </c>
      <c r="U27" s="4" t="b">
        <f>IF($E27="Javelot ",IF($D27="MiF",VLOOKUP($J27,MiF_Concours!$I$3:$J$52,2,TRUE),FALSE))</f>
        <v>0</v>
      </c>
      <c r="V27" s="4" t="b">
        <f>IF($E27="Disque ",IF($D27="MiF",VLOOKUP($J27,MiF_Concours!$G$3:$J$52,4,TRUE),FALSE))</f>
        <v>0</v>
      </c>
      <c r="W27" s="4" t="b">
        <f>IF($E27="Marteau ",IF($D27="MiF",VLOOKUP($J27,MiF_Concours!$H$3:$J$52,3,"VRAI"),FALSE))</f>
        <v>0</v>
      </c>
      <c r="X27" s="4" t="b">
        <f>IF($E27="Poids ",IF($D27="MiM",VLOOKUP($J27,MiM_Concours!$F$3:$J$52,5,TRUE),FALSE))</f>
        <v>0</v>
      </c>
      <c r="Y27" s="4" t="b">
        <f>IF($E27="Javelot ",IF($D27="MiM",VLOOKUP($J27,MiM_Concours!$I$3:$J$52,2,TRUE),FALSE))</f>
        <v>0</v>
      </c>
      <c r="Z27" s="4" t="b">
        <f>IF($E27="Disque ",IF($D27="MiM",VLOOKUP($J27,MiM_Concours!$G$3:$J$52,4,TRUE),FALSE))</f>
        <v>0</v>
      </c>
      <c r="AA27" s="4" t="b">
        <f>IF($E27="Marteau ",IF($D27="MiM",VLOOKUP($J27,MiM_Concours!$H$3:$J$52,3,"VRAI"),FALSE))</f>
        <v>0</v>
      </c>
      <c r="AB27" s="11"/>
    </row>
    <row r="28" spans="1:28" ht="15">
      <c r="A28" s="60"/>
      <c r="B28" s="46"/>
      <c r="C28" s="70"/>
      <c r="D28" s="67" t="s">
        <v>54</v>
      </c>
      <c r="E28" s="37"/>
      <c r="F28" s="73"/>
      <c r="G28" s="48"/>
      <c r="H28" s="48"/>
      <c r="I28" s="48"/>
      <c r="J28" s="55">
        <f t="shared" si="0"/>
        <v>0</v>
      </c>
      <c r="K28" s="61">
        <f t="shared" si="1"/>
        <v>0</v>
      </c>
      <c r="L28" s="25" t="b">
        <f>IF($E28="Poids ",IF($D28="BeF",VLOOKUP($J28,BeF_Concours!$F$3:$J$52,5,TRUE),FALSE))</f>
        <v>0</v>
      </c>
      <c r="M28" s="4" t="b">
        <f>IF($E28="Javelot ",IF($D28="BeF",VLOOKUP($J28,BeF_Concours!$I$3:$J$52,2,TRUE),FALSE))</f>
        <v>0</v>
      </c>
      <c r="N28" s="4" t="b">
        <f>IF($E28="Disque ",IF($D28="BeF",VLOOKUP($J28,BeF_Concours!$G$3:$J$52,4,TRUE),FALSE))</f>
        <v>0</v>
      </c>
      <c r="O28" s="3" t="b">
        <f>IF($E28="Marteau ",IF($D28="BeF",VLOOKUP($J28,BeF_Concours!$H$3:$J$52,3,"VRAI"),FALSE))</f>
        <v>0</v>
      </c>
      <c r="P28" s="4" t="b">
        <f>IF($E28="Poids ",IF($D28="BeM",VLOOKUP($J28,BeM_Concours!F$3:J$52,5,TRUE),TRUE))</f>
        <v>0</v>
      </c>
      <c r="Q28" s="4" t="b">
        <f>IF($E28="Javelot ",IF($D28="BeM ",VLOOKUP($J28,BeM_Concours!$I$3:$J$52,2,TRUE),FALSE))</f>
        <v>0</v>
      </c>
      <c r="R28" s="4" t="b">
        <f>IF($E28="Disque ",IF($D28="BeM",VLOOKUP($J28,BeM_Concours!$G$3:$J$52,4,TRUE),FALSE))</f>
        <v>0</v>
      </c>
      <c r="S28" s="4" t="b">
        <f>IF($E28="Marteau ",IF($D28="BeM",VLOOKUP($J28,BeM_Concours!$H$3:$J$52,3,"VRAI"),FALSE))</f>
        <v>0</v>
      </c>
      <c r="T28" s="4" t="b">
        <f>IF($E28="Poids ",IF($D28="MiF",VLOOKUP($J28,MiF_Concours!$F$3:$J$52,5,TRUE),FALSE))</f>
        <v>0</v>
      </c>
      <c r="U28" s="4" t="b">
        <f>IF($E28="Javelot ",IF($D28="MiF",VLOOKUP($J28,MiF_Concours!$I$3:$J$52,2,TRUE),FALSE))</f>
        <v>0</v>
      </c>
      <c r="V28" s="4" t="b">
        <f>IF($E28="Disque ",IF($D28="MiF",VLOOKUP($J28,MiF_Concours!$G$3:$J$52,4,TRUE),FALSE))</f>
        <v>0</v>
      </c>
      <c r="W28" s="4" t="b">
        <f>IF($E28="Marteau ",IF($D28="MiF",VLOOKUP($J28,MiF_Concours!$H$3:$J$52,3,"VRAI"),FALSE))</f>
        <v>0</v>
      </c>
      <c r="X28" s="4" t="b">
        <f>IF($E28="Poids ",IF($D28="MiM",VLOOKUP($J28,MiM_Concours!$F$3:$J$52,5,TRUE),FALSE))</f>
        <v>0</v>
      </c>
      <c r="Y28" s="4" t="b">
        <f>IF($E28="Javelot ",IF($D28="MiM",VLOOKUP($J28,MiM_Concours!$I$3:$J$52,2,TRUE),FALSE))</f>
        <v>0</v>
      </c>
      <c r="Z28" s="4" t="b">
        <f>IF($E28="Disque ",IF($D28="MiM",VLOOKUP($J28,MiM_Concours!$G$3:$J$52,4,TRUE),FALSE))</f>
        <v>0</v>
      </c>
      <c r="AA28" s="4" t="b">
        <f>IF($E28="Marteau ",IF($D28="MiM",VLOOKUP($J28,MiM_Concours!$H$3:$J$52,3,"VRAI"),FALSE))</f>
        <v>0</v>
      </c>
      <c r="AB28" s="11"/>
    </row>
    <row r="29" spans="1:28" ht="15">
      <c r="A29" s="60"/>
      <c r="B29" s="46"/>
      <c r="C29" s="70"/>
      <c r="D29" s="67" t="s">
        <v>54</v>
      </c>
      <c r="E29" s="37"/>
      <c r="F29" s="73"/>
      <c r="G29" s="48"/>
      <c r="H29" s="48"/>
      <c r="I29" s="48"/>
      <c r="J29" s="55">
        <f t="shared" si="0"/>
        <v>0</v>
      </c>
      <c r="K29" s="61">
        <f t="shared" si="1"/>
        <v>0</v>
      </c>
      <c r="L29" s="25" t="b">
        <f>IF($E29="Poids ",IF($D29="BeF",VLOOKUP($J29,BeF_Concours!$F$3:$J$52,5,TRUE),FALSE))</f>
        <v>0</v>
      </c>
      <c r="M29" s="4" t="b">
        <f>IF($E29="Javelot ",IF($D29="BeF",VLOOKUP($J29,BeF_Concours!$I$3:$J$52,2,TRUE),FALSE))</f>
        <v>0</v>
      </c>
      <c r="N29" s="4" t="b">
        <f>IF($E29="Disque ",IF($D29="BeF",VLOOKUP($J29,BeF_Concours!$G$3:$J$52,4,TRUE),FALSE))</f>
        <v>0</v>
      </c>
      <c r="O29" s="3" t="b">
        <f>IF($E29="Marteau ",IF($D29="BeF",VLOOKUP($J29,BeF_Concours!$H$3:$J$52,3,"VRAI"),FALSE))</f>
        <v>0</v>
      </c>
      <c r="P29" s="4" t="b">
        <f>IF($E29="Poids ",IF($D29="BeM",VLOOKUP($J29,BeM_Concours!F$3:J$52,5,TRUE),TRUE))</f>
        <v>0</v>
      </c>
      <c r="Q29" s="4" t="b">
        <f>IF($E29="Javelot ",IF($D29="BeM ",VLOOKUP($J29,BeM_Concours!$I$3:$J$52,2,TRUE),FALSE))</f>
        <v>0</v>
      </c>
      <c r="R29" s="4" t="b">
        <f>IF($E29="Disque ",IF($D29="BeM",VLOOKUP($J29,BeM_Concours!$G$3:$J$52,4,TRUE),FALSE))</f>
        <v>0</v>
      </c>
      <c r="S29" s="4" t="b">
        <f>IF($E29="Marteau ",IF($D29="BeM",VLOOKUP($J29,BeM_Concours!$H$3:$J$52,3,"VRAI"),FALSE))</f>
        <v>0</v>
      </c>
      <c r="T29" s="4" t="b">
        <f>IF($E29="Poids ",IF($D29="MiF",VLOOKUP($J29,MiF_Concours!$F$3:$J$52,5,TRUE),FALSE))</f>
        <v>0</v>
      </c>
      <c r="U29" s="4" t="b">
        <f>IF($E29="Javelot ",IF($D29="MiF",VLOOKUP($J29,MiF_Concours!$I$3:$J$52,2,TRUE),FALSE))</f>
        <v>0</v>
      </c>
      <c r="V29" s="4" t="b">
        <f>IF($E29="Disque ",IF($D29="MiF",VLOOKUP($J29,MiF_Concours!$G$3:$J$52,4,TRUE),FALSE))</f>
        <v>0</v>
      </c>
      <c r="W29" s="4" t="b">
        <f>IF($E29="Marteau ",IF($D29="MiF",VLOOKUP($J29,MiF_Concours!$H$3:$J$52,3,"VRAI"),FALSE))</f>
        <v>0</v>
      </c>
      <c r="X29" s="4" t="b">
        <f>IF($E29="Poids ",IF($D29="MiM",VLOOKUP($J29,MiM_Concours!$F$3:$J$52,5,TRUE),FALSE))</f>
        <v>0</v>
      </c>
      <c r="Y29" s="4" t="b">
        <f>IF($E29="Javelot ",IF($D29="MiM",VLOOKUP($J29,MiM_Concours!$I$3:$J$52,2,TRUE),FALSE))</f>
        <v>0</v>
      </c>
      <c r="Z29" s="4" t="b">
        <f>IF($E29="Disque ",IF($D29="MiM",VLOOKUP($J29,MiM_Concours!$G$3:$J$52,4,TRUE),FALSE))</f>
        <v>0</v>
      </c>
      <c r="AA29" s="4" t="b">
        <f>IF($E29="Marteau ",IF($D29="MiM",VLOOKUP($J29,MiM_Concours!$H$3:$J$52,3,"VRAI"),FALSE))</f>
        <v>0</v>
      </c>
      <c r="AB29" s="11"/>
    </row>
    <row r="30" spans="1:28" ht="15">
      <c r="A30" s="60"/>
      <c r="B30" s="46"/>
      <c r="C30" s="70"/>
      <c r="D30" s="67" t="s">
        <v>54</v>
      </c>
      <c r="E30" s="37"/>
      <c r="F30" s="73"/>
      <c r="G30" s="48"/>
      <c r="H30" s="48"/>
      <c r="I30" s="48"/>
      <c r="J30" s="55">
        <f t="shared" si="0"/>
        <v>0</v>
      </c>
      <c r="K30" s="61">
        <f t="shared" si="1"/>
        <v>0</v>
      </c>
      <c r="L30" s="25" t="b">
        <f>IF($E30="Poids ",IF($D30="BeF",VLOOKUP($J30,BeF_Concours!$F$3:$J$52,5,TRUE),FALSE))</f>
        <v>0</v>
      </c>
      <c r="M30" s="4" t="b">
        <f>IF($E30="Javelot ",IF($D30="BeF",VLOOKUP($J30,BeF_Concours!$I$3:$J$52,2,TRUE),FALSE))</f>
        <v>0</v>
      </c>
      <c r="N30" s="4" t="b">
        <f>IF($E30="Disque ",IF($D30="BeF",VLOOKUP($J30,BeF_Concours!$G$3:$J$52,4,TRUE),FALSE))</f>
        <v>0</v>
      </c>
      <c r="O30" s="3" t="b">
        <f>IF($E30="Marteau ",IF($D30="BeF",VLOOKUP($J30,BeF_Concours!$H$3:$J$52,3,"VRAI"),FALSE))</f>
        <v>0</v>
      </c>
      <c r="P30" s="4" t="b">
        <f>IF($E30="Poids ",IF($D30="BeM",VLOOKUP($J30,BeM_Concours!F$3:J$52,5,TRUE),TRUE))</f>
        <v>0</v>
      </c>
      <c r="Q30" s="4" t="b">
        <f>IF($E30="Javelot ",IF($D30="BeM ",VLOOKUP($J30,BeM_Concours!$I$3:$J$52,2,TRUE),FALSE))</f>
        <v>0</v>
      </c>
      <c r="R30" s="4" t="b">
        <f>IF($E30="Disque ",IF($D30="BeM",VLOOKUP($J30,BeM_Concours!$G$3:$J$52,4,TRUE),FALSE))</f>
        <v>0</v>
      </c>
      <c r="S30" s="4" t="b">
        <f>IF($E30="Marteau ",IF($D30="BeM",VLOOKUP($J30,BeM_Concours!$H$3:$J$52,3,"VRAI"),FALSE))</f>
        <v>0</v>
      </c>
      <c r="T30" s="4" t="b">
        <f>IF($E30="Poids ",IF($D30="MiF",VLOOKUP($J30,MiF_Concours!$F$3:$J$52,5,TRUE),FALSE))</f>
        <v>0</v>
      </c>
      <c r="U30" s="4" t="b">
        <f>IF($E30="Javelot ",IF($D30="MiF",VLOOKUP($J30,MiF_Concours!$I$3:$J$52,2,TRUE),FALSE))</f>
        <v>0</v>
      </c>
      <c r="V30" s="4" t="b">
        <f>IF($E30="Disque ",IF($D30="MiF",VLOOKUP($J30,MiF_Concours!$G$3:$J$52,4,TRUE),FALSE))</f>
        <v>0</v>
      </c>
      <c r="W30" s="4" t="b">
        <f>IF($E30="Marteau ",IF($D30="MiF",VLOOKUP($J30,MiF_Concours!$H$3:$J$52,3,"VRAI"),FALSE))</f>
        <v>0</v>
      </c>
      <c r="X30" s="4" t="b">
        <f>IF($E30="Poids ",IF($D30="MiM",VLOOKUP($J30,MiM_Concours!$F$3:$J$52,5,TRUE),FALSE))</f>
        <v>0</v>
      </c>
      <c r="Y30" s="4" t="b">
        <f>IF($E30="Javelot ",IF($D30="MiM",VLOOKUP($J30,MiM_Concours!$I$3:$J$52,2,TRUE),FALSE))</f>
        <v>0</v>
      </c>
      <c r="Z30" s="4" t="b">
        <f>IF($E30="Disque ",IF($D30="MiM",VLOOKUP($J30,MiM_Concours!$G$3:$J$52,4,TRUE),FALSE))</f>
        <v>0</v>
      </c>
      <c r="AA30" s="4" t="b">
        <f>IF($E30="Marteau ",IF($D30="MiM",VLOOKUP($J30,MiM_Concours!$H$3:$J$52,3,"VRAI"),FALSE))</f>
        <v>0</v>
      </c>
      <c r="AB30" s="11"/>
    </row>
    <row r="31" spans="1:28" ht="15">
      <c r="A31" s="60"/>
      <c r="B31" s="46"/>
      <c r="C31" s="70"/>
      <c r="D31" s="67" t="s">
        <v>54</v>
      </c>
      <c r="E31" s="37"/>
      <c r="F31" s="73"/>
      <c r="G31" s="48"/>
      <c r="H31" s="48"/>
      <c r="I31" s="48"/>
      <c r="J31" s="55">
        <f t="shared" si="0"/>
        <v>0</v>
      </c>
      <c r="K31" s="61">
        <f t="shared" si="1"/>
        <v>0</v>
      </c>
      <c r="L31" s="25" t="b">
        <f>IF($E31="Poids ",IF($D31="BeF",VLOOKUP($J31,BeF_Concours!$F$3:$J$52,5,TRUE),FALSE))</f>
        <v>0</v>
      </c>
      <c r="M31" s="4" t="b">
        <f>IF($E31="Javelot ",IF($D31="BeF",VLOOKUP($J31,BeF_Concours!$I$3:$J$52,2,TRUE),FALSE))</f>
        <v>0</v>
      </c>
      <c r="N31" s="4" t="b">
        <f>IF($E31="Disque ",IF($D31="BeF",VLOOKUP($J31,BeF_Concours!$G$3:$J$52,4,TRUE),FALSE))</f>
        <v>0</v>
      </c>
      <c r="O31" s="3" t="b">
        <f>IF($E31="Marteau ",IF($D31="BeF",VLOOKUP($J31,BeF_Concours!$H$3:$J$52,3,"VRAI"),FALSE))</f>
        <v>0</v>
      </c>
      <c r="P31" s="4" t="b">
        <f>IF($E31="Poids ",IF($D31="BeM",VLOOKUP($J31,BeM_Concours!F$3:J$52,5,TRUE),TRUE))</f>
        <v>0</v>
      </c>
      <c r="Q31" s="4" t="b">
        <f>IF($E31="Javelot ",IF($D31="BeM ",VLOOKUP($J31,BeM_Concours!$I$3:$J$52,2,TRUE),FALSE))</f>
        <v>0</v>
      </c>
      <c r="R31" s="4" t="b">
        <f>IF($E31="Disque ",IF($D31="BeM",VLOOKUP($J31,BeM_Concours!$G$3:$J$52,4,TRUE),FALSE))</f>
        <v>0</v>
      </c>
      <c r="S31" s="4" t="b">
        <f>IF($E31="Marteau ",IF($D31="BeM",VLOOKUP($J31,BeM_Concours!$H$3:$J$52,3,"VRAI"),FALSE))</f>
        <v>0</v>
      </c>
      <c r="T31" s="4" t="b">
        <f>IF($E31="Poids ",IF($D31="MiF",VLOOKUP($J31,MiF_Concours!$F$3:$J$52,5,TRUE),FALSE))</f>
        <v>0</v>
      </c>
      <c r="U31" s="4" t="b">
        <f>IF($E31="Javelot ",IF($D31="MiF",VLOOKUP($J31,MiF_Concours!$I$3:$J$52,2,TRUE),FALSE))</f>
        <v>0</v>
      </c>
      <c r="V31" s="4" t="b">
        <f>IF($E31="Disque ",IF($D31="MiF",VLOOKUP($J31,MiF_Concours!$G$3:$J$52,4,TRUE),FALSE))</f>
        <v>0</v>
      </c>
      <c r="W31" s="4" t="b">
        <f>IF($E31="Marteau ",IF($D31="MiF",VLOOKUP($J31,MiF_Concours!$H$3:$J$52,3,"VRAI"),FALSE))</f>
        <v>0</v>
      </c>
      <c r="X31" s="4" t="b">
        <f>IF($E31="Poids ",IF($D31="MiM",VLOOKUP($J31,MiM_Concours!$F$3:$J$52,5,TRUE),FALSE))</f>
        <v>0</v>
      </c>
      <c r="Y31" s="4" t="b">
        <f>IF($E31="Javelot ",IF($D31="MiM",VLOOKUP($J31,MiM_Concours!$I$3:$J$52,2,TRUE),FALSE))</f>
        <v>0</v>
      </c>
      <c r="Z31" s="4" t="b">
        <f>IF($E31="Disque ",IF($D31="MiM",VLOOKUP($J31,MiM_Concours!$G$3:$J$52,4,TRUE),FALSE))</f>
        <v>0</v>
      </c>
      <c r="AA31" s="4" t="b">
        <f>IF($E31="Marteau ",IF($D31="MiM",VLOOKUP($J31,MiM_Concours!$H$3:$J$52,3,"VRAI"),FALSE))</f>
        <v>0</v>
      </c>
      <c r="AB31" s="11"/>
    </row>
    <row r="32" spans="1:28" ht="15">
      <c r="A32" s="60"/>
      <c r="B32" s="46"/>
      <c r="C32" s="70"/>
      <c r="D32" s="67" t="s">
        <v>54</v>
      </c>
      <c r="E32" s="37"/>
      <c r="F32" s="73"/>
      <c r="G32" s="48"/>
      <c r="H32" s="48"/>
      <c r="I32" s="48"/>
      <c r="J32" s="55">
        <f t="shared" si="0"/>
        <v>0</v>
      </c>
      <c r="K32" s="61">
        <f t="shared" si="1"/>
        <v>0</v>
      </c>
      <c r="L32" s="25" t="b">
        <f>IF($E32="Poids ",IF($D32="BeF",VLOOKUP($J32,BeF_Concours!$F$3:$J$52,5,TRUE),FALSE))</f>
        <v>0</v>
      </c>
      <c r="M32" s="4" t="b">
        <f>IF($E32="Javelot ",IF($D32="BeF",VLOOKUP($J32,BeF_Concours!$I$3:$J$52,2,TRUE),FALSE))</f>
        <v>0</v>
      </c>
      <c r="N32" s="4" t="b">
        <f>IF($E32="Disque ",IF($D32="BeF",VLOOKUP($J32,BeF_Concours!$G$3:$J$52,4,TRUE),FALSE))</f>
        <v>0</v>
      </c>
      <c r="O32" s="3" t="b">
        <f>IF($E32="Marteau ",IF($D32="BeF",VLOOKUP($J32,BeF_Concours!$H$3:$J$52,3,"VRAI"),FALSE))</f>
        <v>0</v>
      </c>
      <c r="P32" s="4" t="b">
        <f>IF($E32="Poids ",IF($D32="BeM",VLOOKUP($J32,BeM_Concours!F$3:J$52,5,TRUE),TRUE))</f>
        <v>0</v>
      </c>
      <c r="Q32" s="4" t="b">
        <f>IF($E32="Javelot ",IF($D32="BeM ",VLOOKUP($J32,BeM_Concours!$I$3:$J$52,2,TRUE),FALSE))</f>
        <v>0</v>
      </c>
      <c r="R32" s="4" t="b">
        <f>IF($E32="Disque ",IF($D32="BeM",VLOOKUP($J32,BeM_Concours!$G$3:$J$52,4,TRUE),FALSE))</f>
        <v>0</v>
      </c>
      <c r="S32" s="4" t="b">
        <f>IF($E32="Marteau ",IF($D32="BeM",VLOOKUP($J32,BeM_Concours!$H$3:$J$52,3,"VRAI"),FALSE))</f>
        <v>0</v>
      </c>
      <c r="T32" s="4" t="b">
        <f>IF($E32="Poids ",IF($D32="MiF",VLOOKUP($J32,MiF_Concours!$F$3:$J$52,5,TRUE),FALSE))</f>
        <v>0</v>
      </c>
      <c r="U32" s="4" t="b">
        <f>IF($E32="Javelot ",IF($D32="MiF",VLOOKUP($J32,MiF_Concours!$I$3:$J$52,2,TRUE),FALSE))</f>
        <v>0</v>
      </c>
      <c r="V32" s="4" t="b">
        <f>IF($E32="Disque ",IF($D32="MiF",VLOOKUP($J32,MiF_Concours!$G$3:$J$52,4,TRUE),FALSE))</f>
        <v>0</v>
      </c>
      <c r="W32" s="4" t="b">
        <f>IF($E32="Marteau ",IF($D32="MiF",VLOOKUP($J32,MiF_Concours!$H$3:$J$52,3,"VRAI"),FALSE))</f>
        <v>0</v>
      </c>
      <c r="X32" s="4" t="b">
        <f>IF($E32="Poids ",IF($D32="MiM",VLOOKUP($J32,MiM_Concours!$F$3:$J$52,5,TRUE),FALSE))</f>
        <v>0</v>
      </c>
      <c r="Y32" s="4" t="b">
        <f>IF($E32="Javelot ",IF($D32="MiM",VLOOKUP($J32,MiM_Concours!$I$3:$J$52,2,TRUE),FALSE))</f>
        <v>0</v>
      </c>
      <c r="Z32" s="4" t="b">
        <f>IF($E32="Disque ",IF($D32="MiM",VLOOKUP($J32,MiM_Concours!$G$3:$J$52,4,TRUE),FALSE))</f>
        <v>0</v>
      </c>
      <c r="AA32" s="4" t="b">
        <f>IF($E32="Marteau ",IF($D32="MiM",VLOOKUP($J32,MiM_Concours!$H$3:$J$52,3,"VRAI"),FALSE))</f>
        <v>0</v>
      </c>
      <c r="AB32" s="11"/>
    </row>
    <row r="33" spans="1:28" ht="15">
      <c r="A33" s="60"/>
      <c r="B33" s="46"/>
      <c r="C33" s="70"/>
      <c r="D33" s="67" t="s">
        <v>54</v>
      </c>
      <c r="E33" s="37"/>
      <c r="F33" s="73"/>
      <c r="G33" s="48"/>
      <c r="H33" s="48"/>
      <c r="I33" s="48"/>
      <c r="J33" s="55">
        <f t="shared" si="0"/>
        <v>0</v>
      </c>
      <c r="K33" s="61">
        <f t="shared" si="1"/>
        <v>0</v>
      </c>
      <c r="L33" s="25" t="b">
        <f>IF($E33="Poids ",IF($D33="BeF",VLOOKUP($J33,BeF_Concours!$F$3:$J$52,5,TRUE),FALSE))</f>
        <v>0</v>
      </c>
      <c r="M33" s="4" t="b">
        <f>IF($E33="Javelot ",IF($D33="BeF",VLOOKUP($J33,BeF_Concours!$I$3:$J$52,2,TRUE),FALSE))</f>
        <v>0</v>
      </c>
      <c r="N33" s="4" t="b">
        <f>IF($E33="Disque ",IF($D33="BeF",VLOOKUP($J33,BeF_Concours!$G$3:$J$52,4,TRUE),FALSE))</f>
        <v>0</v>
      </c>
      <c r="O33" s="3" t="b">
        <f>IF($E33="Marteau ",IF($D33="BeF",VLOOKUP($J33,BeF_Concours!$H$3:$J$52,3,"VRAI"),FALSE))</f>
        <v>0</v>
      </c>
      <c r="P33" s="4" t="b">
        <f>IF($E33="Poids ",IF($D33="BeM",VLOOKUP($J33,BeM_Concours!F$3:J$52,5,TRUE),TRUE))</f>
        <v>0</v>
      </c>
      <c r="Q33" s="4" t="b">
        <f>IF($E33="Javelot ",IF($D33="BeM ",VLOOKUP($J33,BeM_Concours!$I$3:$J$52,2,TRUE),FALSE))</f>
        <v>0</v>
      </c>
      <c r="R33" s="4" t="b">
        <f>IF($E33="Disque ",IF($D33="BeM",VLOOKUP($J33,BeM_Concours!$G$3:$J$52,4,TRUE),FALSE))</f>
        <v>0</v>
      </c>
      <c r="S33" s="4" t="b">
        <f>IF($E33="Marteau ",IF($D33="BeM",VLOOKUP($J33,BeM_Concours!$H$3:$J$52,3,"VRAI"),FALSE))</f>
        <v>0</v>
      </c>
      <c r="T33" s="4" t="b">
        <f>IF($E33="Poids ",IF($D33="MiF",VLOOKUP($J33,MiF_Concours!$F$3:$J$52,5,TRUE),FALSE))</f>
        <v>0</v>
      </c>
      <c r="U33" s="4" t="b">
        <f>IF($E33="Javelot ",IF($D33="MiF",VLOOKUP($J33,MiF_Concours!$I$3:$J$52,2,TRUE),FALSE))</f>
        <v>0</v>
      </c>
      <c r="V33" s="4" t="b">
        <f>IF($E33="Disque ",IF($D33="MiF",VLOOKUP($J33,MiF_Concours!$G$3:$J$52,4,TRUE),FALSE))</f>
        <v>0</v>
      </c>
      <c r="W33" s="4" t="b">
        <f>IF($E33="Marteau ",IF($D33="MiF",VLOOKUP($J33,MiF_Concours!$H$3:$J$52,3,"VRAI"),FALSE))</f>
        <v>0</v>
      </c>
      <c r="X33" s="4" t="b">
        <f>IF($E33="Poids ",IF($D33="MiM",VLOOKUP($J33,MiM_Concours!$F$3:$J$52,5,TRUE),FALSE))</f>
        <v>0</v>
      </c>
      <c r="Y33" s="4" t="b">
        <f>IF($E33="Javelot ",IF($D33="MiM",VLOOKUP($J33,MiM_Concours!$I$3:$J$52,2,TRUE),FALSE))</f>
        <v>0</v>
      </c>
      <c r="Z33" s="4" t="b">
        <f>IF($E33="Disque ",IF($D33="MiM",VLOOKUP($J33,MiM_Concours!$G$3:$J$52,4,TRUE),FALSE))</f>
        <v>0</v>
      </c>
      <c r="AA33" s="4" t="b">
        <f>IF($E33="Marteau ",IF($D33="MiM",VLOOKUP($J33,MiM_Concours!$H$3:$J$52,3,"VRAI"),FALSE))</f>
        <v>0</v>
      </c>
      <c r="AB33" s="11"/>
    </row>
    <row r="34" spans="1:28" ht="15">
      <c r="A34" s="60"/>
      <c r="B34" s="46"/>
      <c r="C34" s="70"/>
      <c r="D34" s="67" t="s">
        <v>54</v>
      </c>
      <c r="E34" s="37"/>
      <c r="F34" s="73"/>
      <c r="G34" s="48"/>
      <c r="H34" s="48"/>
      <c r="I34" s="48"/>
      <c r="J34" s="55">
        <f t="shared" si="0"/>
        <v>0</v>
      </c>
      <c r="K34" s="61">
        <f t="shared" si="1"/>
        <v>0</v>
      </c>
      <c r="L34" s="25" t="b">
        <f>IF($E34="Poids ",IF($D34="BeF",VLOOKUP($J34,BeF_Concours!$F$3:$J$52,5,TRUE),FALSE))</f>
        <v>0</v>
      </c>
      <c r="M34" s="4" t="b">
        <f>IF($E34="Javelot ",IF($D34="BeF",VLOOKUP($J34,BeF_Concours!$I$3:$J$52,2,TRUE),FALSE))</f>
        <v>0</v>
      </c>
      <c r="N34" s="4" t="b">
        <f>IF($E34="Disque ",IF($D34="BeF",VLOOKUP($J34,BeF_Concours!$G$3:$J$52,4,TRUE),FALSE))</f>
        <v>0</v>
      </c>
      <c r="O34" s="3" t="b">
        <f>IF($E34="Marteau ",IF($D34="BeF",VLOOKUP($J34,BeF_Concours!$H$3:$J$52,3,"VRAI"),FALSE))</f>
        <v>0</v>
      </c>
      <c r="P34" s="4" t="b">
        <f>IF($E34="Poids ",IF($D34="BeM",VLOOKUP($J34,BeM_Concours!F$3:J$52,5,TRUE),TRUE))</f>
        <v>0</v>
      </c>
      <c r="Q34" s="4" t="b">
        <f>IF($E34="Javelot ",IF($D34="BeM ",VLOOKUP($J34,BeM_Concours!$I$3:$J$52,2,TRUE),FALSE))</f>
        <v>0</v>
      </c>
      <c r="R34" s="4" t="b">
        <f>IF($E34="Disque ",IF($D34="BeM",VLOOKUP($J34,BeM_Concours!$G$3:$J$52,4,TRUE),FALSE))</f>
        <v>0</v>
      </c>
      <c r="S34" s="4" t="b">
        <f>IF($E34="Marteau ",IF($D34="BeM",VLOOKUP($J34,BeM_Concours!$H$3:$J$52,3,"VRAI"),FALSE))</f>
        <v>0</v>
      </c>
      <c r="T34" s="4" t="b">
        <f>IF($E34="Poids ",IF($D34="MiF",VLOOKUP($J34,MiF_Concours!$F$3:$J$52,5,TRUE),FALSE))</f>
        <v>0</v>
      </c>
      <c r="U34" s="4" t="b">
        <f>IF($E34="Javelot ",IF($D34="MiF",VLOOKUP($J34,MiF_Concours!$I$3:$J$52,2,TRUE),FALSE))</f>
        <v>0</v>
      </c>
      <c r="V34" s="4" t="b">
        <f>IF($E34="Disque ",IF($D34="MiF",VLOOKUP($J34,MiF_Concours!$G$3:$J$52,4,TRUE),FALSE))</f>
        <v>0</v>
      </c>
      <c r="W34" s="4" t="b">
        <f>IF($E34="Marteau ",IF($D34="MiF",VLOOKUP($J34,MiF_Concours!$H$3:$J$52,3,"VRAI"),FALSE))</f>
        <v>0</v>
      </c>
      <c r="X34" s="4" t="b">
        <f>IF($E34="Poids ",IF($D34="MiM",VLOOKUP($J34,MiM_Concours!$F$3:$J$52,5,TRUE),FALSE))</f>
        <v>0</v>
      </c>
      <c r="Y34" s="4" t="b">
        <f>IF($E34="Javelot ",IF($D34="MiM",VLOOKUP($J34,MiM_Concours!$I$3:$J$52,2,TRUE),FALSE))</f>
        <v>0</v>
      </c>
      <c r="Z34" s="4" t="b">
        <f>IF($E34="Disque ",IF($D34="MiM",VLOOKUP($J34,MiM_Concours!$G$3:$J$52,4,TRUE),FALSE))</f>
        <v>0</v>
      </c>
      <c r="AA34" s="4" t="b">
        <f>IF($E34="Marteau ",IF($D34="MiM",VLOOKUP($J34,MiM_Concours!$H$3:$J$52,3,"VRAI"),FALSE))</f>
        <v>0</v>
      </c>
      <c r="AB34" s="11"/>
    </row>
    <row r="35" spans="1:28" ht="15">
      <c r="A35" s="60"/>
      <c r="B35" s="46"/>
      <c r="C35" s="70"/>
      <c r="D35" s="67" t="s">
        <v>54</v>
      </c>
      <c r="E35" s="37"/>
      <c r="F35" s="73"/>
      <c r="G35" s="48"/>
      <c r="H35" s="48"/>
      <c r="I35" s="48"/>
      <c r="J35" s="55">
        <f t="shared" si="0"/>
        <v>0</v>
      </c>
      <c r="K35" s="61">
        <f t="shared" si="1"/>
        <v>0</v>
      </c>
      <c r="L35" s="25" t="b">
        <f>IF($E35="Poids ",IF($D35="BeF",VLOOKUP($J35,BeF_Concours!$F$3:$J$52,5,TRUE),FALSE))</f>
        <v>0</v>
      </c>
      <c r="M35" s="4" t="b">
        <f>IF($E35="Javelot ",IF($D35="BeF",VLOOKUP($J35,BeF_Concours!$I$3:$J$52,2,TRUE),FALSE))</f>
        <v>0</v>
      </c>
      <c r="N35" s="4" t="b">
        <f>IF($E35="Disque ",IF($D35="BeF",VLOOKUP($J35,BeF_Concours!$G$3:$J$52,4,TRUE),FALSE))</f>
        <v>0</v>
      </c>
      <c r="O35" s="3" t="b">
        <f>IF($E35="Marteau ",IF($D35="BeF",VLOOKUP($J35,BeF_Concours!$H$3:$J$52,3,"VRAI"),FALSE))</f>
        <v>0</v>
      </c>
      <c r="P35" s="4" t="b">
        <f>IF($E35="Poids ",IF($D35="BeM",VLOOKUP($J35,BeM_Concours!F$3:J$52,5,TRUE),TRUE))</f>
        <v>0</v>
      </c>
      <c r="Q35" s="4" t="b">
        <f>IF($E35="Javelot ",IF($D35="BeM ",VLOOKUP($J35,BeM_Concours!$I$3:$J$52,2,TRUE),FALSE))</f>
        <v>0</v>
      </c>
      <c r="R35" s="4" t="b">
        <f>IF($E35="Disque ",IF($D35="BeM",VLOOKUP($J35,BeM_Concours!$G$3:$J$52,4,TRUE),FALSE))</f>
        <v>0</v>
      </c>
      <c r="S35" s="4" t="b">
        <f>IF($E35="Marteau ",IF($D35="BeM",VLOOKUP($J35,BeM_Concours!$H$3:$J$52,3,"VRAI"),FALSE))</f>
        <v>0</v>
      </c>
      <c r="T35" s="4" t="b">
        <f>IF($E35="Poids ",IF($D35="MiF",VLOOKUP($J35,MiF_Concours!$F$3:$J$52,5,TRUE),FALSE))</f>
        <v>0</v>
      </c>
      <c r="U35" s="4" t="b">
        <f>IF($E35="Javelot ",IF($D35="MiF",VLOOKUP($J35,MiF_Concours!$I$3:$J$52,2,TRUE),FALSE))</f>
        <v>0</v>
      </c>
      <c r="V35" s="4" t="b">
        <f>IF($E35="Disque ",IF($D35="MiF",VLOOKUP($J35,MiF_Concours!$G$3:$J$52,4,TRUE),FALSE))</f>
        <v>0</v>
      </c>
      <c r="W35" s="4" t="b">
        <f>IF($E35="Marteau ",IF($D35="MiF",VLOOKUP($J35,MiF_Concours!$H$3:$J$52,3,"VRAI"),FALSE))</f>
        <v>0</v>
      </c>
      <c r="X35" s="4" t="b">
        <f>IF($E35="Poids ",IF($D35="MiM",VLOOKUP($J35,MiM_Concours!$F$3:$J$52,5,TRUE),FALSE))</f>
        <v>0</v>
      </c>
      <c r="Y35" s="4" t="b">
        <f>IF($E35="Javelot ",IF($D35="MiM",VLOOKUP($J35,MiM_Concours!$I$3:$J$52,2,TRUE),FALSE))</f>
        <v>0</v>
      </c>
      <c r="Z35" s="4" t="b">
        <f>IF($E35="Disque ",IF($D35="MiM",VLOOKUP($J35,MiM_Concours!$G$3:$J$52,4,TRUE),FALSE))</f>
        <v>0</v>
      </c>
      <c r="AA35" s="4" t="b">
        <f>IF($E35="Marteau ",IF($D35="MiM",VLOOKUP($J35,MiM_Concours!$H$3:$J$52,3,"VRAI"),FALSE))</f>
        <v>0</v>
      </c>
      <c r="AB35" s="11"/>
    </row>
    <row r="36" spans="1:28" ht="15">
      <c r="A36" s="60"/>
      <c r="B36" s="46"/>
      <c r="C36" s="70"/>
      <c r="D36" s="67" t="s">
        <v>54</v>
      </c>
      <c r="E36" s="37"/>
      <c r="F36" s="73"/>
      <c r="G36" s="48"/>
      <c r="H36" s="48"/>
      <c r="I36" s="48"/>
      <c r="J36" s="55">
        <f t="shared" si="0"/>
        <v>0</v>
      </c>
      <c r="K36" s="61">
        <f t="shared" si="1"/>
        <v>0</v>
      </c>
      <c r="L36" s="25" t="b">
        <f>IF($E36="Poids ",IF($D36="BeF",VLOOKUP($J36,BeF_Concours!$F$3:$J$52,5,TRUE),FALSE))</f>
        <v>0</v>
      </c>
      <c r="M36" s="4" t="b">
        <f>IF($E36="Javelot ",IF($D36="BeF",VLOOKUP($J36,BeF_Concours!$I$3:$J$52,2,TRUE),FALSE))</f>
        <v>0</v>
      </c>
      <c r="N36" s="4" t="b">
        <f>IF($E36="Disque ",IF($D36="BeF",VLOOKUP($J36,BeF_Concours!$G$3:$J$52,4,TRUE),FALSE))</f>
        <v>0</v>
      </c>
      <c r="O36" s="3" t="b">
        <f>IF($E36="Marteau ",IF($D36="BeF",VLOOKUP($J36,BeF_Concours!$H$3:$J$52,3,"VRAI"),FALSE))</f>
        <v>0</v>
      </c>
      <c r="P36" s="4" t="b">
        <f>IF($E36="Poids ",IF($D36="BeM",VLOOKUP($J36,BeM_Concours!F$3:J$52,5,TRUE),TRUE))</f>
        <v>0</v>
      </c>
      <c r="Q36" s="4" t="b">
        <f>IF($E36="Javelot ",IF($D36="BeM ",VLOOKUP($J36,BeM_Concours!$I$3:$J$52,2,TRUE),FALSE))</f>
        <v>0</v>
      </c>
      <c r="R36" s="4" t="b">
        <f>IF($E36="Disque ",IF($D36="BeM",VLOOKUP($J36,BeM_Concours!$G$3:$J$52,4,TRUE),FALSE))</f>
        <v>0</v>
      </c>
      <c r="S36" s="4" t="b">
        <f>IF($E36="Marteau ",IF($D36="BeM",VLOOKUP($J36,BeM_Concours!$H$3:$J$52,3,"VRAI"),FALSE))</f>
        <v>0</v>
      </c>
      <c r="T36" s="4" t="b">
        <f>IF($E36="Poids ",IF($D36="MiF",VLOOKUP($J36,MiF_Concours!$F$3:$J$52,5,TRUE),FALSE))</f>
        <v>0</v>
      </c>
      <c r="U36" s="4" t="b">
        <f>IF($E36="Javelot ",IF($D36="MiF",VLOOKUP($J36,MiF_Concours!$I$3:$J$52,2,TRUE),FALSE))</f>
        <v>0</v>
      </c>
      <c r="V36" s="4" t="b">
        <f>IF($E36="Disque ",IF($D36="MiF",VLOOKUP($J36,MiF_Concours!$G$3:$J$52,4,TRUE),FALSE))</f>
        <v>0</v>
      </c>
      <c r="W36" s="4" t="b">
        <f>IF($E36="Marteau ",IF($D36="MiF",VLOOKUP($J36,MiF_Concours!$H$3:$J$52,3,"VRAI"),FALSE))</f>
        <v>0</v>
      </c>
      <c r="X36" s="4" t="b">
        <f>IF($E36="Poids ",IF($D36="MiM",VLOOKUP($J36,MiM_Concours!$F$3:$J$52,5,TRUE),FALSE))</f>
        <v>0</v>
      </c>
      <c r="Y36" s="4" t="b">
        <f>IF($E36="Javelot ",IF($D36="MiM",VLOOKUP($J36,MiM_Concours!$I$3:$J$52,2,TRUE),FALSE))</f>
        <v>0</v>
      </c>
      <c r="Z36" s="4" t="b">
        <f>IF($E36="Disque ",IF($D36="MiM",VLOOKUP($J36,MiM_Concours!$G$3:$J$52,4,TRUE),FALSE))</f>
        <v>0</v>
      </c>
      <c r="AA36" s="4" t="b">
        <f>IF($E36="Marteau ",IF($D36="MiM",VLOOKUP($J36,MiM_Concours!$H$3:$J$52,3,"VRAI"),FALSE))</f>
        <v>0</v>
      </c>
      <c r="AB36" s="11"/>
    </row>
    <row r="37" spans="1:28" ht="15.75" thickBot="1">
      <c r="A37" s="62"/>
      <c r="B37" s="63"/>
      <c r="C37" s="71"/>
      <c r="D37" s="68" t="s">
        <v>54</v>
      </c>
      <c r="E37" s="39"/>
      <c r="F37" s="154"/>
      <c r="G37" s="122"/>
      <c r="H37" s="122"/>
      <c r="I37" s="122"/>
      <c r="J37" s="64">
        <f t="shared" si="0"/>
        <v>0</v>
      </c>
      <c r="K37" s="65">
        <f t="shared" si="1"/>
        <v>0</v>
      </c>
      <c r="L37" s="25" t="b">
        <f>IF($E37="Poids ",IF($D37="BeF",VLOOKUP($J37,BeF_Concours!$F$3:$J$52,5,TRUE),FALSE))</f>
        <v>0</v>
      </c>
      <c r="M37" s="4" t="b">
        <f>IF($E37="Javelot ",IF($D37="BeF",VLOOKUP($J37,BeF_Concours!$I$3:$J$52,2,TRUE),FALSE))</f>
        <v>0</v>
      </c>
      <c r="N37" s="4" t="b">
        <f>IF($E37="Disque ",IF($D37="BeF",VLOOKUP($J37,BeF_Concours!$G$3:$J$52,4,TRUE),FALSE))</f>
        <v>0</v>
      </c>
      <c r="O37" s="3" t="b">
        <f>IF($E37="Marteau ",IF($D37="BeF",VLOOKUP($J37,BeF_Concours!$H$3:$J$52,3,"VRAI"),FALSE))</f>
        <v>0</v>
      </c>
      <c r="P37" s="4" t="b">
        <f>IF($E37="Poids ",IF($D37="BeM",VLOOKUP($J37,BeM_Concours!F$3:J$52,5,TRUE),TRUE))</f>
        <v>0</v>
      </c>
      <c r="Q37" s="4" t="b">
        <f>IF($E37="Javelot ",IF($D37="BeM ",VLOOKUP($J37,BeM_Concours!$I$3:$J$52,2,TRUE),FALSE))</f>
        <v>0</v>
      </c>
      <c r="R37" s="4" t="b">
        <f>IF($E37="Disque ",IF($D37="BeM",VLOOKUP($J37,BeM_Concours!$G$3:$J$52,4,TRUE),FALSE))</f>
        <v>0</v>
      </c>
      <c r="S37" s="4" t="b">
        <f>IF($E37="Marteau ",IF($D37="BeM",VLOOKUP($J37,BeM_Concours!$H$3:$J$52,3,"VRAI"),FALSE))</f>
        <v>0</v>
      </c>
      <c r="T37" s="4" t="b">
        <f>IF($E37="Poids ",IF($D37="MiF",VLOOKUP($J37,MiF_Concours!$F$3:$J$52,5,TRUE),FALSE))</f>
        <v>0</v>
      </c>
      <c r="U37" s="4" t="b">
        <f>IF($E37="Javelot ",IF($D37="MiF",VLOOKUP($J37,MiF_Concours!$I$3:$J$52,2,TRUE),FALSE))</f>
        <v>0</v>
      </c>
      <c r="V37" s="4" t="b">
        <f>IF($E37="Disque ",IF($D37="MiF",VLOOKUP($J37,MiF_Concours!$G$3:$J$52,4,TRUE),FALSE))</f>
        <v>0</v>
      </c>
      <c r="W37" s="4" t="b">
        <f>IF($E37="Marteau ",IF($D37="MiF",VLOOKUP($J37,MiF_Concours!$H$3:$J$52,3,"VRAI"),FALSE))</f>
        <v>0</v>
      </c>
      <c r="X37" s="4" t="b">
        <f>IF($E37="Poids ",IF($D37="MiM",VLOOKUP($J37,MiM_Concours!$F$3:$J$52,5,TRUE),FALSE))</f>
        <v>0</v>
      </c>
      <c r="Y37" s="4" t="b">
        <f>IF($E37="Javelot ",IF($D37="MiM",VLOOKUP($J37,MiM_Concours!$I$3:$J$52,2,TRUE),FALSE))</f>
        <v>0</v>
      </c>
      <c r="Z37" s="4" t="b">
        <f>IF($E37="Disque ",IF($D37="MiM",VLOOKUP($J37,MiM_Concours!$G$3:$J$52,4,TRUE),FALSE))</f>
        <v>0</v>
      </c>
      <c r="AA37" s="4" t="b">
        <f>IF($E37="Marteau ",IF($D37="MiM",VLOOKUP($J37,MiM_Concours!$H$3:$J$52,3,"VRAI"),FALSE))</f>
        <v>0</v>
      </c>
      <c r="AB37" s="11"/>
    </row>
  </sheetData>
  <sheetProtection password="D2F3" sheet="1" objects="1" scenarios="1" selectLockedCells="1"/>
  <mergeCells count="10">
    <mergeCell ref="A2:K2"/>
    <mergeCell ref="K4:K5"/>
    <mergeCell ref="C3:F3"/>
    <mergeCell ref="H3:K3"/>
    <mergeCell ref="B4:B5"/>
    <mergeCell ref="C4:F5"/>
    <mergeCell ref="G4:H4"/>
    <mergeCell ref="I4:J4"/>
    <mergeCell ref="G5:H5"/>
    <mergeCell ref="I5:J5"/>
  </mergeCells>
  <dataValidations count="2">
    <dataValidation type="list" allowBlank="1" showInputMessage="1" showErrorMessage="1" sqref="B3 E7:E37">
      <formula1>$M$1:$M$5</formula1>
    </dataValidation>
    <dataValidation type="list" allowBlank="1" showInputMessage="1" showErrorMessage="1" sqref="D7:D37">
      <formula1>$R$4:$R$5</formula1>
    </dataValidation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landscape" paperSize="9" scale="76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Velay</dc:creator>
  <cp:keywords/>
  <dc:description/>
  <cp:lastModifiedBy>Velay</cp:lastModifiedBy>
  <cp:lastPrinted>2021-03-17T17:44:21Z</cp:lastPrinted>
  <dcterms:created xsi:type="dcterms:W3CDTF">2021-03-11T12:50:41Z</dcterms:created>
  <dcterms:modified xsi:type="dcterms:W3CDTF">2021-03-21T15:36:02Z</dcterms:modified>
  <cp:category/>
  <cp:version/>
  <cp:contentType/>
  <cp:contentStatus/>
</cp:coreProperties>
</file>